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yler\OneDrive - University of Kentucky\Working Papers\Hemp\Budgets\2021\"/>
    </mc:Choice>
  </mc:AlternateContent>
  <bookViews>
    <workbookView xWindow="0" yWindow="0" windowWidth="13035" windowHeight="10425" tabRatio="800" activeTab="5"/>
  </bookViews>
  <sheets>
    <sheet name="Cover" sheetId="7" r:id="rId1"/>
    <sheet name="Hemp Grain" sheetId="5" r:id="rId2"/>
    <sheet name="Hemp Fiber" sheetId="6" r:id="rId3"/>
    <sheet name="CBD Row Crop Grain Harvested" sheetId="1" r:id="rId4"/>
    <sheet name="CBD Row Crop NO Grain" sheetId="2" r:id="rId5"/>
    <sheet name="CBD Tobacco Model" sheetId="3" r:id="rId6"/>
    <sheet name="CBD Plasticulture Model" sheetId="4" r:id="rId7"/>
    <sheet name="Spacing" sheetId="8" r:id="rId8"/>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H40" i="4" l="1"/>
  <c r="H36" i="3"/>
  <c r="H57" i="3"/>
  <c r="H46" i="2"/>
  <c r="H53" i="1"/>
  <c r="H43" i="6"/>
  <c r="H19" i="5"/>
  <c r="H43" i="5"/>
  <c r="E11" i="3"/>
  <c r="C8" i="3"/>
  <c r="C11" i="3" s="1"/>
  <c r="C8" i="4"/>
  <c r="C11" i="4" s="1"/>
  <c r="C16" i="4" l="1"/>
  <c r="C16" i="3"/>
  <c r="H44" i="4"/>
  <c r="H43" i="4"/>
  <c r="H39" i="3"/>
  <c r="H38" i="3"/>
  <c r="H28" i="2"/>
  <c r="H27" i="2"/>
  <c r="H35" i="1"/>
  <c r="H34" i="1"/>
  <c r="H24" i="5"/>
  <c r="H23" i="5"/>
  <c r="H42" i="5"/>
  <c r="H42" i="6"/>
  <c r="H25" i="6"/>
  <c r="H24" i="6"/>
  <c r="H52" i="3" l="1"/>
  <c r="H41" i="2"/>
  <c r="H48" i="1"/>
  <c r="H38" i="6"/>
  <c r="H37" i="6"/>
  <c r="H39" i="6"/>
  <c r="H37" i="5"/>
  <c r="H6" i="5" l="1"/>
  <c r="H6" i="6"/>
  <c r="H10" i="1"/>
  <c r="H8" i="2"/>
  <c r="H41" i="5"/>
  <c r="H40" i="5"/>
  <c r="H39" i="5"/>
  <c r="H38" i="5"/>
  <c r="H36" i="5"/>
  <c r="H35" i="5"/>
  <c r="E34" i="5"/>
  <c r="H34" i="5" s="1"/>
  <c r="H33" i="5"/>
  <c r="H32" i="5"/>
  <c r="H31" i="5"/>
  <c r="H44" i="5" s="1"/>
  <c r="H36" i="6"/>
  <c r="H41" i="6"/>
  <c r="H40" i="6"/>
  <c r="H35" i="6"/>
  <c r="H52" i="1"/>
  <c r="H51" i="1"/>
  <c r="H50" i="1"/>
  <c r="H49" i="1"/>
  <c r="H46" i="1"/>
  <c r="H47" i="1"/>
  <c r="H45" i="1"/>
  <c r="H42" i="2"/>
  <c r="H45" i="2"/>
  <c r="H44" i="2"/>
  <c r="H43" i="2"/>
  <c r="H40" i="2"/>
  <c r="H39" i="2"/>
  <c r="H34" i="6" l="1"/>
  <c r="H33" i="6"/>
  <c r="H32" i="6"/>
  <c r="H31" i="6"/>
  <c r="H44" i="6" s="1"/>
  <c r="E44" i="1"/>
  <c r="H44" i="1" s="1"/>
  <c r="H43" i="1"/>
  <c r="H42" i="1"/>
  <c r="H41" i="1"/>
  <c r="H54" i="1" s="1"/>
  <c r="H38" i="2" l="1"/>
  <c r="H37" i="2"/>
  <c r="H36" i="2"/>
  <c r="H47" i="2" l="1"/>
  <c r="Q13" i="4"/>
  <c r="Q13" i="3"/>
  <c r="H28" i="4" l="1"/>
  <c r="H27" i="4"/>
  <c r="E57" i="4" l="1"/>
  <c r="H57" i="4"/>
  <c r="E45" i="4"/>
  <c r="H45" i="4" s="1"/>
  <c r="E25" i="4"/>
  <c r="H27" i="3"/>
  <c r="E11" i="4"/>
  <c r="H62" i="4"/>
  <c r="H61" i="4"/>
  <c r="H60" i="4"/>
  <c r="H59" i="4"/>
  <c r="H58" i="4"/>
  <c r="H56" i="4"/>
  <c r="H55" i="4"/>
  <c r="H54" i="4"/>
  <c r="H53" i="4"/>
  <c r="H52" i="4"/>
  <c r="H53" i="3"/>
  <c r="H51" i="3"/>
  <c r="H48" i="3"/>
  <c r="H49" i="3"/>
  <c r="H50" i="3"/>
  <c r="H54" i="3"/>
  <c r="H55" i="3"/>
  <c r="H56" i="3"/>
  <c r="H47" i="3"/>
  <c r="H63" i="4" l="1"/>
  <c r="H58" i="3"/>
  <c r="H31" i="4" l="1"/>
  <c r="H17" i="3"/>
  <c r="H17" i="4"/>
  <c r="H12" i="4"/>
  <c r="H12" i="3"/>
  <c r="H11" i="4" l="1"/>
  <c r="H13" i="4" s="1"/>
  <c r="H11" i="3"/>
  <c r="H13" i="3" s="1"/>
  <c r="E8" i="1" l="1"/>
  <c r="H8" i="1" l="1"/>
  <c r="H22" i="2"/>
  <c r="C17" i="5"/>
  <c r="H17" i="5" s="1"/>
  <c r="H35" i="4" l="1"/>
  <c r="H31" i="3"/>
  <c r="C24" i="1"/>
  <c r="H24" i="1" s="1"/>
  <c r="H25" i="1"/>
  <c r="H18" i="6"/>
  <c r="H26" i="1"/>
  <c r="H19" i="6"/>
  <c r="H34" i="3" l="1"/>
  <c r="H26" i="5" l="1"/>
  <c r="H15" i="5"/>
  <c r="H15" i="6"/>
  <c r="H22" i="4"/>
  <c r="H22" i="3"/>
  <c r="H17" i="2"/>
  <c r="H19" i="1"/>
  <c r="H29" i="4" l="1"/>
  <c r="H32" i="4"/>
  <c r="H28" i="3"/>
  <c r="H22" i="5" l="1"/>
  <c r="H21" i="6"/>
  <c r="H22" i="6"/>
  <c r="H39" i="4"/>
  <c r="H38" i="4"/>
  <c r="H37" i="4"/>
  <c r="H35" i="3"/>
  <c r="H33" i="3"/>
  <c r="H23" i="2"/>
  <c r="H30" i="1"/>
  <c r="H25" i="2"/>
  <c r="H32" i="1"/>
  <c r="H24" i="2"/>
  <c r="H31" i="1"/>
  <c r="H9" i="1" l="1"/>
  <c r="H11" i="1" s="1"/>
  <c r="H16" i="5" l="1"/>
  <c r="H16" i="6"/>
  <c r="H23" i="4"/>
  <c r="H23" i="3"/>
  <c r="H18" i="2"/>
  <c r="H20" i="1"/>
  <c r="H24" i="3"/>
  <c r="H22" i="1"/>
  <c r="H29" i="3"/>
  <c r="H33" i="4"/>
  <c r="H34" i="4"/>
  <c r="H30" i="3"/>
  <c r="H23" i="1"/>
  <c r="E7" i="2" l="1"/>
  <c r="H7" i="2" s="1"/>
  <c r="H9" i="2" s="1"/>
  <c r="H28" i="1"/>
  <c r="C29" i="1"/>
  <c r="H29" i="1" s="1"/>
  <c r="H17" i="6"/>
  <c r="C20" i="5"/>
  <c r="H20" i="5" s="1"/>
  <c r="H27" i="6" l="1"/>
  <c r="H26" i="6"/>
  <c r="H20" i="6"/>
  <c r="H14" i="6"/>
  <c r="H13" i="6"/>
  <c r="H12" i="6"/>
  <c r="H11" i="6"/>
  <c r="H10" i="6"/>
  <c r="H5" i="6"/>
  <c r="H7" i="6" s="1"/>
  <c r="H27" i="5"/>
  <c r="H21" i="5"/>
  <c r="H18" i="5"/>
  <c r="H14" i="5"/>
  <c r="H13" i="5"/>
  <c r="H12" i="5"/>
  <c r="H11" i="5"/>
  <c r="C23" i="6" l="1"/>
  <c r="H10" i="5"/>
  <c r="C25" i="5" s="1"/>
  <c r="H5" i="5"/>
  <c r="H7" i="5" s="1"/>
  <c r="H25" i="5" l="1"/>
  <c r="H28" i="5"/>
  <c r="L11" i="5" l="1"/>
  <c r="U9" i="5"/>
  <c r="V11" i="5"/>
  <c r="P7" i="5"/>
  <c r="O12" i="5"/>
  <c r="V6" i="5"/>
  <c r="L14" i="5"/>
  <c r="O10" i="5"/>
  <c r="Q5" i="5"/>
  <c r="S5" i="5"/>
  <c r="Q13" i="5"/>
  <c r="P6" i="5"/>
  <c r="O14" i="5"/>
  <c r="N12" i="5"/>
  <c r="U7" i="5"/>
  <c r="L6" i="5"/>
  <c r="T5" i="5"/>
  <c r="T13" i="5"/>
  <c r="T14" i="5"/>
  <c r="N9" i="5"/>
  <c r="N14" i="5"/>
  <c r="L15" i="5"/>
  <c r="Q7" i="5"/>
  <c r="R7" i="5"/>
  <c r="Q11" i="5"/>
  <c r="N6" i="5"/>
  <c r="L8" i="5"/>
  <c r="V14" i="5"/>
  <c r="T15" i="5"/>
  <c r="O5" i="5"/>
  <c r="N13" i="5"/>
  <c r="Q9" i="5"/>
  <c r="R15" i="5"/>
  <c r="S13" i="5"/>
  <c r="T9" i="5"/>
  <c r="M9" i="5"/>
  <c r="V8" i="5"/>
  <c r="N11" i="5"/>
  <c r="V12" i="5"/>
  <c r="U8" i="5"/>
  <c r="S15" i="5"/>
  <c r="L10" i="5"/>
  <c r="V5" i="5"/>
  <c r="S10" i="5"/>
  <c r="S11" i="5"/>
  <c r="S14" i="5"/>
  <c r="R9" i="5"/>
  <c r="T8" i="5"/>
  <c r="M8" i="5"/>
  <c r="S6" i="5"/>
  <c r="P8" i="5"/>
  <c r="T6" i="5"/>
  <c r="S9" i="5"/>
  <c r="O15" i="5"/>
  <c r="L7" i="5"/>
  <c r="Q6" i="5"/>
  <c r="R12" i="5"/>
  <c r="V9" i="5"/>
  <c r="L12" i="5"/>
  <c r="U12" i="5"/>
  <c r="L13" i="5"/>
  <c r="V13" i="5"/>
  <c r="P5" i="5"/>
  <c r="U5" i="5"/>
  <c r="M15" i="5"/>
  <c r="P9" i="5"/>
  <c r="M11" i="5"/>
  <c r="U10" i="5"/>
  <c r="S12" i="5"/>
  <c r="U6" i="5"/>
  <c r="P10" i="5"/>
  <c r="V10" i="5"/>
  <c r="P11" i="5"/>
  <c r="T7" i="5"/>
  <c r="O9" i="5"/>
  <c r="U13" i="5"/>
  <c r="N7" i="5"/>
  <c r="U11" i="5"/>
  <c r="M14" i="5"/>
  <c r="O11" i="5"/>
  <c r="M12" i="5"/>
  <c r="M7" i="5"/>
  <c r="P15" i="5"/>
  <c r="O6" i="5"/>
  <c r="P12" i="5"/>
  <c r="R8" i="5"/>
  <c r="R11" i="5"/>
  <c r="S8" i="5"/>
  <c r="R5" i="5"/>
  <c r="T10" i="5"/>
  <c r="V7" i="5"/>
  <c r="M10" i="5"/>
  <c r="L9" i="5"/>
  <c r="M6" i="5"/>
  <c r="R14" i="5"/>
  <c r="O13" i="5"/>
  <c r="Q10" i="5"/>
  <c r="S7" i="5"/>
  <c r="N15" i="5"/>
  <c r="T12" i="5"/>
  <c r="R10" i="5"/>
  <c r="R13" i="5"/>
  <c r="O8" i="5"/>
  <c r="Q14" i="5"/>
  <c r="Q8" i="5"/>
  <c r="T11" i="5"/>
  <c r="P13" i="5"/>
  <c r="L5" i="5"/>
  <c r="R6" i="5"/>
  <c r="N8" i="5"/>
  <c r="M5" i="5"/>
  <c r="O7" i="5"/>
  <c r="P14" i="5"/>
  <c r="Q12" i="5"/>
  <c r="U14" i="5"/>
  <c r="V15" i="5"/>
  <c r="Q15" i="5"/>
  <c r="N5" i="5"/>
  <c r="M13" i="5"/>
  <c r="N10" i="5"/>
  <c r="U15" i="5"/>
  <c r="H30" i="5"/>
  <c r="H46" i="4" l="1"/>
  <c r="H42" i="4"/>
  <c r="H36" i="4"/>
  <c r="H30" i="4"/>
  <c r="H26" i="4"/>
  <c r="H25" i="4"/>
  <c r="H24" i="4"/>
  <c r="H21" i="4"/>
  <c r="H20" i="4"/>
  <c r="H19" i="4"/>
  <c r="H18" i="4"/>
  <c r="H16" i="4"/>
  <c r="H41" i="3"/>
  <c r="H40" i="3"/>
  <c r="H32" i="3"/>
  <c r="H26" i="3"/>
  <c r="H21" i="3"/>
  <c r="H20" i="3"/>
  <c r="H19" i="3"/>
  <c r="H18" i="3"/>
  <c r="H16" i="3"/>
  <c r="H30" i="2"/>
  <c r="H29" i="2"/>
  <c r="H21" i="2"/>
  <c r="H20" i="2"/>
  <c r="H19" i="2"/>
  <c r="H16" i="2"/>
  <c r="H15" i="2"/>
  <c r="H14" i="2"/>
  <c r="H13" i="2"/>
  <c r="H12" i="2"/>
  <c r="H37" i="1"/>
  <c r="H36" i="1"/>
  <c r="H27" i="1"/>
  <c r="H21" i="1"/>
  <c r="H18" i="1"/>
  <c r="H17" i="1"/>
  <c r="H16" i="1"/>
  <c r="H15" i="1"/>
  <c r="H14" i="1"/>
  <c r="C26" i="2" l="1"/>
  <c r="C33" i="1"/>
  <c r="H33" i="1" s="1"/>
  <c r="H38" i="1" s="1"/>
  <c r="C37" i="3"/>
  <c r="H37" i="3" s="1"/>
  <c r="H42" i="3" s="1"/>
  <c r="C41" i="4"/>
  <c r="H56" i="1" l="1"/>
  <c r="H26" i="2"/>
  <c r="H31" i="2" s="1"/>
  <c r="H41" i="4"/>
  <c r="L5" i="3" l="1"/>
  <c r="L32" i="3"/>
  <c r="L33" i="3"/>
  <c r="L34" i="3"/>
  <c r="L35" i="3"/>
  <c r="L36" i="3"/>
  <c r="L37" i="3"/>
  <c r="L38" i="3"/>
  <c r="L24" i="3"/>
  <c r="L25" i="3"/>
  <c r="L26" i="3"/>
  <c r="L27" i="3"/>
  <c r="L28" i="3"/>
  <c r="L29" i="3"/>
  <c r="L30" i="3"/>
  <c r="L31" i="3"/>
  <c r="P35" i="3"/>
  <c r="P36" i="3"/>
  <c r="P24" i="3"/>
  <c r="P28" i="3"/>
  <c r="Q33" i="3"/>
  <c r="Q37" i="3"/>
  <c r="Q27" i="3"/>
  <c r="Q29" i="3"/>
  <c r="R32" i="3"/>
  <c r="R36" i="3"/>
  <c r="R26" i="3"/>
  <c r="R30" i="3"/>
  <c r="S33" i="3"/>
  <c r="S38" i="3"/>
  <c r="S27" i="3"/>
  <c r="S31" i="3"/>
  <c r="M32" i="3"/>
  <c r="M33" i="3"/>
  <c r="M34" i="3"/>
  <c r="M35" i="3"/>
  <c r="M36" i="3"/>
  <c r="M37" i="3"/>
  <c r="M38" i="3"/>
  <c r="M24" i="3"/>
  <c r="M25" i="3"/>
  <c r="M26" i="3"/>
  <c r="M27" i="3"/>
  <c r="M28" i="3"/>
  <c r="M29" i="3"/>
  <c r="M30" i="3"/>
  <c r="M31" i="3"/>
  <c r="P33" i="3"/>
  <c r="P26" i="3"/>
  <c r="P30" i="3"/>
  <c r="Q34" i="3"/>
  <c r="Q26" i="3"/>
  <c r="Q31" i="3"/>
  <c r="R34" i="3"/>
  <c r="R27" i="3"/>
  <c r="R31" i="3"/>
  <c r="S35" i="3"/>
  <c r="S26" i="3"/>
  <c r="S30" i="3"/>
  <c r="N32" i="3"/>
  <c r="N33" i="3"/>
  <c r="N34" i="3"/>
  <c r="N35" i="3"/>
  <c r="N36" i="3"/>
  <c r="N37" i="3"/>
  <c r="N38" i="3"/>
  <c r="N24" i="3"/>
  <c r="N25" i="3"/>
  <c r="N26" i="3"/>
  <c r="N27" i="3"/>
  <c r="N28" i="3"/>
  <c r="N29" i="3"/>
  <c r="N30" i="3"/>
  <c r="N31" i="3"/>
  <c r="P34" i="3"/>
  <c r="P37" i="3"/>
  <c r="P25" i="3"/>
  <c r="P29" i="3"/>
  <c r="Q32" i="3"/>
  <c r="Q36" i="3"/>
  <c r="Q25" i="3"/>
  <c r="Q28" i="3"/>
  <c r="R33" i="3"/>
  <c r="R37" i="3"/>
  <c r="R25" i="3"/>
  <c r="R29" i="3"/>
  <c r="S34" i="3"/>
  <c r="S37" i="3"/>
  <c r="S24" i="3"/>
  <c r="S29" i="3"/>
  <c r="O32" i="3"/>
  <c r="O33" i="3"/>
  <c r="O34" i="3"/>
  <c r="O35" i="3"/>
  <c r="O36" i="3"/>
  <c r="O37" i="3"/>
  <c r="O38" i="3"/>
  <c r="O24" i="3"/>
  <c r="O25" i="3"/>
  <c r="O26" i="3"/>
  <c r="O27" i="3"/>
  <c r="O28" i="3"/>
  <c r="O29" i="3"/>
  <c r="O30" i="3"/>
  <c r="O31" i="3"/>
  <c r="P32" i="3"/>
  <c r="P38" i="3"/>
  <c r="P27" i="3"/>
  <c r="P31" i="3"/>
  <c r="Q35" i="3"/>
  <c r="Q38" i="3"/>
  <c r="Q24" i="3"/>
  <c r="Q30" i="3"/>
  <c r="R35" i="3"/>
  <c r="R38" i="3"/>
  <c r="R24" i="3"/>
  <c r="R28" i="3"/>
  <c r="S32" i="3"/>
  <c r="S36" i="3"/>
  <c r="S25" i="3"/>
  <c r="S28" i="3"/>
  <c r="H49" i="2"/>
  <c r="H33" i="2"/>
  <c r="R17" i="3"/>
  <c r="R20" i="3"/>
  <c r="R18" i="3"/>
  <c r="R19" i="3"/>
  <c r="R16" i="3"/>
  <c r="R21" i="3"/>
  <c r="R22" i="3"/>
  <c r="R23" i="3"/>
  <c r="S23" i="3"/>
  <c r="P21" i="3"/>
  <c r="O17" i="3"/>
  <c r="N21" i="3"/>
  <c r="M17" i="3"/>
  <c r="L21" i="3"/>
  <c r="Q16" i="3"/>
  <c r="Q17" i="3"/>
  <c r="P22" i="3"/>
  <c r="O18" i="3"/>
  <c r="N22" i="3"/>
  <c r="M18" i="3"/>
  <c r="L22" i="3"/>
  <c r="Q20" i="3"/>
  <c r="N17" i="3"/>
  <c r="M21" i="3"/>
  <c r="S16" i="3"/>
  <c r="P18" i="3"/>
  <c r="O22" i="3"/>
  <c r="L18" i="3"/>
  <c r="S21" i="3"/>
  <c r="P19" i="3"/>
  <c r="O23" i="3"/>
  <c r="L19" i="3"/>
  <c r="S22" i="3"/>
  <c r="P20" i="3"/>
  <c r="N16" i="3"/>
  <c r="L20" i="3"/>
  <c r="S17" i="3"/>
  <c r="Q18" i="3"/>
  <c r="P23" i="3"/>
  <c r="O19" i="3"/>
  <c r="N23" i="3"/>
  <c r="M19" i="3"/>
  <c r="L23" i="3"/>
  <c r="S18" i="3"/>
  <c r="Q19" i="3"/>
  <c r="O20" i="3"/>
  <c r="O16" i="3"/>
  <c r="M20" i="3"/>
  <c r="M16" i="3"/>
  <c r="S19" i="3"/>
  <c r="P17" i="3"/>
  <c r="O21" i="3"/>
  <c r="L17" i="3"/>
  <c r="S20" i="3"/>
  <c r="Q21" i="3"/>
  <c r="N18" i="3"/>
  <c r="M22" i="3"/>
  <c r="Q22" i="3"/>
  <c r="N19" i="3"/>
  <c r="M23" i="3"/>
  <c r="Q23" i="3"/>
  <c r="P16" i="3"/>
  <c r="N20" i="3"/>
  <c r="L16" i="3"/>
  <c r="M6" i="3"/>
  <c r="S6" i="3"/>
  <c r="L6" i="3"/>
  <c r="S9" i="3"/>
  <c r="O8" i="3"/>
  <c r="N7" i="3"/>
  <c r="Q8" i="3"/>
  <c r="S7" i="3"/>
  <c r="L8" i="3"/>
  <c r="O6" i="3"/>
  <c r="P9" i="3"/>
  <c r="N8" i="3"/>
  <c r="P5" i="3"/>
  <c r="L10" i="3"/>
  <c r="M9" i="3"/>
  <c r="R8" i="3"/>
  <c r="N5" i="3"/>
  <c r="N10" i="3"/>
  <c r="S5" i="3"/>
  <c r="P10" i="3"/>
  <c r="Q10" i="3"/>
  <c r="Q6" i="3"/>
  <c r="Q7" i="3"/>
  <c r="N6" i="3"/>
  <c r="R9" i="3"/>
  <c r="P7" i="3"/>
  <c r="M8" i="3"/>
  <c r="Q5" i="3"/>
  <c r="O9" i="3"/>
  <c r="O5" i="3"/>
  <c r="M10" i="3"/>
  <c r="O7" i="3"/>
  <c r="S8" i="3"/>
  <c r="L7" i="3"/>
  <c r="M7" i="3"/>
  <c r="R7" i="3"/>
  <c r="R5" i="3"/>
  <c r="N9" i="3"/>
  <c r="R10" i="3"/>
  <c r="S10" i="3"/>
  <c r="L9" i="3"/>
  <c r="Q9" i="3"/>
  <c r="P8" i="3"/>
  <c r="M5" i="3"/>
  <c r="P6" i="3"/>
  <c r="O10" i="3"/>
  <c r="R6" i="3"/>
  <c r="H60" i="3"/>
  <c r="H47" i="4"/>
  <c r="H44" i="3"/>
  <c r="L33" i="4" l="1"/>
  <c r="L34" i="4"/>
  <c r="L35" i="4"/>
  <c r="L36" i="4"/>
  <c r="L26" i="4"/>
  <c r="L27" i="4"/>
  <c r="L28" i="4"/>
  <c r="L29" i="4"/>
  <c r="L30" i="4"/>
  <c r="L31" i="4"/>
  <c r="L32" i="4"/>
  <c r="Q34" i="4"/>
  <c r="Q28" i="4"/>
  <c r="R36" i="4"/>
  <c r="R31" i="4"/>
  <c r="S26" i="4"/>
  <c r="S31" i="4"/>
  <c r="M33" i="4"/>
  <c r="M34" i="4"/>
  <c r="M35" i="4"/>
  <c r="M36" i="4"/>
  <c r="M26" i="4"/>
  <c r="M27" i="4"/>
  <c r="M28" i="4"/>
  <c r="M29" i="4"/>
  <c r="M30" i="4"/>
  <c r="M31" i="4"/>
  <c r="M32" i="4"/>
  <c r="Q35" i="4"/>
  <c r="Q29" i="4"/>
  <c r="R34" i="4"/>
  <c r="R28" i="4"/>
  <c r="S34" i="4"/>
  <c r="S29" i="4"/>
  <c r="N33" i="4"/>
  <c r="N34" i="4"/>
  <c r="N35" i="4"/>
  <c r="N36" i="4"/>
  <c r="N26" i="4"/>
  <c r="N27" i="4"/>
  <c r="N28" i="4"/>
  <c r="N29" i="4"/>
  <c r="N30" i="4"/>
  <c r="N31" i="4"/>
  <c r="N32" i="4"/>
  <c r="Q33" i="4"/>
  <c r="Q27" i="4"/>
  <c r="Q32" i="4"/>
  <c r="R27" i="4"/>
  <c r="R32" i="4"/>
  <c r="S36" i="4"/>
  <c r="S30" i="4"/>
  <c r="O33" i="4"/>
  <c r="O34" i="4"/>
  <c r="O35" i="4"/>
  <c r="O36" i="4"/>
  <c r="O26" i="4"/>
  <c r="O27" i="4"/>
  <c r="O28" i="4"/>
  <c r="O29" i="4"/>
  <c r="O30" i="4"/>
  <c r="O31" i="4"/>
  <c r="O32" i="4"/>
  <c r="P32" i="4"/>
  <c r="Q36" i="4"/>
  <c r="Q30" i="4"/>
  <c r="R35" i="4"/>
  <c r="R29" i="4"/>
  <c r="S35" i="4"/>
  <c r="S32" i="4"/>
  <c r="P33" i="4"/>
  <c r="P34" i="4"/>
  <c r="P35" i="4"/>
  <c r="P36" i="4"/>
  <c r="P26" i="4"/>
  <c r="P27" i="4"/>
  <c r="P28" i="4"/>
  <c r="P29" i="4"/>
  <c r="P30" i="4"/>
  <c r="P31" i="4"/>
  <c r="Q26" i="4"/>
  <c r="Q31" i="4"/>
  <c r="R33" i="4"/>
  <c r="R26" i="4"/>
  <c r="R30" i="4"/>
  <c r="S33" i="4"/>
  <c r="S27" i="4"/>
  <c r="S28" i="4"/>
  <c r="L16" i="4"/>
  <c r="L5" i="4"/>
  <c r="S5" i="4"/>
  <c r="S17" i="4"/>
  <c r="R22" i="4"/>
  <c r="Q19" i="4"/>
  <c r="Q25" i="4"/>
  <c r="O17" i="4"/>
  <c r="N21" i="4"/>
  <c r="M17" i="4"/>
  <c r="L20" i="4"/>
  <c r="S18" i="4"/>
  <c r="S24" i="4"/>
  <c r="R23" i="4"/>
  <c r="Q20" i="4"/>
  <c r="P17" i="4"/>
  <c r="O18" i="4"/>
  <c r="O24" i="4"/>
  <c r="N22" i="4"/>
  <c r="M18" i="4"/>
  <c r="M24" i="4"/>
  <c r="L21" i="4"/>
  <c r="R24" i="4"/>
  <c r="P20" i="4"/>
  <c r="O21" i="4"/>
  <c r="M21" i="4"/>
  <c r="N16" i="4"/>
  <c r="S19" i="4"/>
  <c r="S25" i="4"/>
  <c r="Q21" i="4"/>
  <c r="P18" i="4"/>
  <c r="P24" i="4"/>
  <c r="O19" i="4"/>
  <c r="O25" i="4"/>
  <c r="N23" i="4"/>
  <c r="M19" i="4"/>
  <c r="M25" i="4"/>
  <c r="L22" i="4"/>
  <c r="S20" i="4"/>
  <c r="R17" i="4"/>
  <c r="Q22" i="4"/>
  <c r="P19" i="4"/>
  <c r="P25" i="4"/>
  <c r="O20" i="4"/>
  <c r="O16" i="4"/>
  <c r="M20" i="4"/>
  <c r="M16" i="4"/>
  <c r="L23" i="4"/>
  <c r="S21" i="4"/>
  <c r="R18" i="4"/>
  <c r="Q23" i="4"/>
  <c r="S16" i="4"/>
  <c r="N17" i="4"/>
  <c r="L25" i="4"/>
  <c r="L19" i="4"/>
  <c r="S22" i="4"/>
  <c r="R19" i="4"/>
  <c r="R25" i="4"/>
  <c r="P21" i="4"/>
  <c r="R16" i="4"/>
  <c r="O22" i="4"/>
  <c r="N18" i="4"/>
  <c r="N24" i="4"/>
  <c r="M22" i="4"/>
  <c r="L17" i="4"/>
  <c r="S23" i="4"/>
  <c r="R20" i="4"/>
  <c r="Q17" i="4"/>
  <c r="P22" i="4"/>
  <c r="Q16" i="4"/>
  <c r="O23" i="4"/>
  <c r="N19" i="4"/>
  <c r="N25" i="4"/>
  <c r="M23" i="4"/>
  <c r="L18" i="4"/>
  <c r="L24" i="4"/>
  <c r="R21" i="4"/>
  <c r="Q18" i="4"/>
  <c r="Q24" i="4"/>
  <c r="P23" i="4"/>
  <c r="P16" i="4"/>
  <c r="N20" i="4"/>
  <c r="O5" i="4"/>
  <c r="N5" i="4"/>
  <c r="Q5" i="4"/>
  <c r="P5" i="4"/>
  <c r="M5" i="4"/>
  <c r="S10" i="4"/>
  <c r="O10" i="4"/>
  <c r="R6" i="4"/>
  <c r="N6" i="4"/>
  <c r="R7" i="4"/>
  <c r="S6" i="4"/>
  <c r="R8" i="4"/>
  <c r="Q10" i="4"/>
  <c r="N8" i="4"/>
  <c r="M10" i="4"/>
  <c r="S7" i="4"/>
  <c r="R9" i="4"/>
  <c r="O6" i="4"/>
  <c r="N9" i="4"/>
  <c r="S8" i="4"/>
  <c r="R10" i="4"/>
  <c r="P6" i="4"/>
  <c r="O7" i="4"/>
  <c r="N10" i="4"/>
  <c r="L6" i="4"/>
  <c r="S9" i="4"/>
  <c r="R5" i="4"/>
  <c r="P7" i="4"/>
  <c r="O8" i="4"/>
  <c r="L7" i="4"/>
  <c r="Q6" i="4"/>
  <c r="P8" i="4"/>
  <c r="O9" i="4"/>
  <c r="M6" i="4"/>
  <c r="L8" i="4"/>
  <c r="Q7" i="4"/>
  <c r="P9" i="4"/>
  <c r="M7" i="4"/>
  <c r="L9" i="4"/>
  <c r="Q8" i="4"/>
  <c r="P10" i="4"/>
  <c r="M8" i="4"/>
  <c r="L10" i="4"/>
  <c r="Q9" i="4"/>
  <c r="N7" i="4"/>
  <c r="M9" i="4"/>
  <c r="H65" i="4"/>
  <c r="H49" i="4"/>
  <c r="H23" i="6" l="1"/>
  <c r="H28" i="6" s="1"/>
  <c r="L5" i="6" l="1"/>
  <c r="H30" i="6"/>
  <c r="H46" i="6"/>
  <c r="V6" i="6"/>
  <c r="V14" i="6"/>
  <c r="V22" i="6"/>
  <c r="U6" i="6"/>
  <c r="U14" i="6"/>
  <c r="U22" i="6"/>
  <c r="T6" i="6"/>
  <c r="T14" i="6"/>
  <c r="T22" i="6"/>
  <c r="S6" i="6"/>
  <c r="S14" i="6"/>
  <c r="S22" i="6"/>
  <c r="R6" i="6"/>
  <c r="R14" i="6"/>
  <c r="R22" i="6"/>
  <c r="Q6" i="6"/>
  <c r="Q14" i="6"/>
  <c r="Q22" i="6"/>
  <c r="P6" i="6"/>
  <c r="P14" i="6"/>
  <c r="P22" i="6"/>
  <c r="O6" i="6"/>
  <c r="O14" i="6"/>
  <c r="O22" i="6"/>
  <c r="N6" i="6"/>
  <c r="N14" i="6"/>
  <c r="N22" i="6"/>
  <c r="M6" i="6"/>
  <c r="M14" i="6"/>
  <c r="M22" i="6"/>
  <c r="L6" i="6"/>
  <c r="L14" i="6"/>
  <c r="L22" i="6"/>
  <c r="V16" i="6"/>
  <c r="U16" i="6"/>
  <c r="T8" i="6"/>
  <c r="T24" i="6"/>
  <c r="S16" i="6"/>
  <c r="R8" i="6"/>
  <c r="R24" i="6"/>
  <c r="Q24" i="6"/>
  <c r="P16" i="6"/>
  <c r="O8" i="6"/>
  <c r="O24" i="6"/>
  <c r="N16" i="6"/>
  <c r="M8" i="6"/>
  <c r="M24" i="6"/>
  <c r="L16" i="6"/>
  <c r="V9" i="6"/>
  <c r="U9" i="6"/>
  <c r="U17" i="6"/>
  <c r="T9" i="6"/>
  <c r="T25" i="6"/>
  <c r="S25" i="6"/>
  <c r="R17" i="6"/>
  <c r="Q9" i="6"/>
  <c r="Q25" i="6"/>
  <c r="P17" i="6"/>
  <c r="O9" i="6"/>
  <c r="O25" i="6"/>
  <c r="N17" i="6"/>
  <c r="M9" i="6"/>
  <c r="M17" i="6"/>
  <c r="M25" i="6"/>
  <c r="L17" i="6"/>
  <c r="V18" i="6"/>
  <c r="V26" i="6"/>
  <c r="U26" i="6"/>
  <c r="T18" i="6"/>
  <c r="S10" i="6"/>
  <c r="S26" i="6"/>
  <c r="R18" i="6"/>
  <c r="Q10" i="6"/>
  <c r="Q26" i="6"/>
  <c r="P18" i="6"/>
  <c r="O10" i="6"/>
  <c r="O26" i="6"/>
  <c r="N18" i="6"/>
  <c r="M10" i="6"/>
  <c r="M26" i="6"/>
  <c r="L26" i="6"/>
  <c r="V11" i="6"/>
  <c r="V7" i="6"/>
  <c r="V15" i="6"/>
  <c r="V23" i="6"/>
  <c r="U7" i="6"/>
  <c r="U15" i="6"/>
  <c r="U23" i="6"/>
  <c r="T7" i="6"/>
  <c r="T15" i="6"/>
  <c r="T23" i="6"/>
  <c r="S7" i="6"/>
  <c r="S15" i="6"/>
  <c r="S23" i="6"/>
  <c r="R7" i="6"/>
  <c r="R15" i="6"/>
  <c r="R23" i="6"/>
  <c r="Q7" i="6"/>
  <c r="Q15" i="6"/>
  <c r="Q23" i="6"/>
  <c r="P7" i="6"/>
  <c r="P15" i="6"/>
  <c r="P23" i="6"/>
  <c r="O7" i="6"/>
  <c r="O15" i="6"/>
  <c r="O23" i="6"/>
  <c r="N7" i="6"/>
  <c r="N15" i="6"/>
  <c r="N23" i="6"/>
  <c r="M7" i="6"/>
  <c r="M15" i="6"/>
  <c r="M23" i="6"/>
  <c r="L7" i="6"/>
  <c r="L15" i="6"/>
  <c r="L23" i="6"/>
  <c r="V8" i="6"/>
  <c r="V24" i="6"/>
  <c r="U8" i="6"/>
  <c r="U24" i="6"/>
  <c r="T16" i="6"/>
  <c r="S8" i="6"/>
  <c r="S24" i="6"/>
  <c r="R16" i="6"/>
  <c r="Q8" i="6"/>
  <c r="Q16" i="6"/>
  <c r="P8" i="6"/>
  <c r="P24" i="6"/>
  <c r="O16" i="6"/>
  <c r="N8" i="6"/>
  <c r="N24" i="6"/>
  <c r="M16" i="6"/>
  <c r="L8" i="6"/>
  <c r="L24" i="6"/>
  <c r="V17" i="6"/>
  <c r="V25" i="6"/>
  <c r="U25" i="6"/>
  <c r="T17" i="6"/>
  <c r="S9" i="6"/>
  <c r="S17" i="6"/>
  <c r="R9" i="6"/>
  <c r="R25" i="6"/>
  <c r="Q17" i="6"/>
  <c r="P9" i="6"/>
  <c r="P25" i="6"/>
  <c r="O17" i="6"/>
  <c r="N9" i="6"/>
  <c r="N25" i="6"/>
  <c r="L9" i="6"/>
  <c r="L25" i="6"/>
  <c r="V10" i="6"/>
  <c r="U10" i="6"/>
  <c r="U18" i="6"/>
  <c r="T10" i="6"/>
  <c r="T26" i="6"/>
  <c r="S18" i="6"/>
  <c r="R10" i="6"/>
  <c r="R26" i="6"/>
  <c r="Q18" i="6"/>
  <c r="P10" i="6"/>
  <c r="P26" i="6"/>
  <c r="O18" i="6"/>
  <c r="N10" i="6"/>
  <c r="N26" i="6"/>
  <c r="M18" i="6"/>
  <c r="L10" i="6"/>
  <c r="L18" i="6"/>
  <c r="V19" i="6"/>
  <c r="V12" i="6"/>
  <c r="U12" i="6"/>
  <c r="T11" i="6"/>
  <c r="T5" i="6"/>
  <c r="S28" i="6"/>
  <c r="R27" i="6"/>
  <c r="Q21" i="6"/>
  <c r="P20" i="6"/>
  <c r="O19" i="6"/>
  <c r="N13" i="6"/>
  <c r="M12" i="6"/>
  <c r="L11" i="6"/>
  <c r="R11" i="6"/>
  <c r="P27" i="6"/>
  <c r="N20" i="6"/>
  <c r="L13" i="6"/>
  <c r="V21" i="6"/>
  <c r="T19" i="6"/>
  <c r="R12" i="6"/>
  <c r="Q5" i="6"/>
  <c r="O27" i="6"/>
  <c r="L19" i="6"/>
  <c r="U21" i="6"/>
  <c r="S19" i="6"/>
  <c r="Q12" i="6"/>
  <c r="P5" i="6"/>
  <c r="N27" i="6"/>
  <c r="L20" i="6"/>
  <c r="U27" i="6"/>
  <c r="S20" i="6"/>
  <c r="Q13" i="6"/>
  <c r="O11" i="6"/>
  <c r="N28" i="6"/>
  <c r="L21" i="6"/>
  <c r="V5" i="6"/>
  <c r="T27" i="6"/>
  <c r="Q19" i="6"/>
  <c r="O12" i="6"/>
  <c r="N5" i="6"/>
  <c r="L27" i="6"/>
  <c r="U11" i="6"/>
  <c r="T28" i="6"/>
  <c r="R21" i="6"/>
  <c r="P19" i="6"/>
  <c r="N12" i="6"/>
  <c r="M5" i="6"/>
  <c r="V13" i="6"/>
  <c r="U13" i="6"/>
  <c r="T12" i="6"/>
  <c r="S11" i="6"/>
  <c r="S5" i="6"/>
  <c r="R28" i="6"/>
  <c r="Q27" i="6"/>
  <c r="P21" i="6"/>
  <c r="O20" i="6"/>
  <c r="N19" i="6"/>
  <c r="M13" i="6"/>
  <c r="L12" i="6"/>
  <c r="V20" i="6"/>
  <c r="U19" i="6"/>
  <c r="T13" i="6"/>
  <c r="S12" i="6"/>
  <c r="R5" i="6"/>
  <c r="Q28" i="6"/>
  <c r="O21" i="6"/>
  <c r="M19" i="6"/>
  <c r="U20" i="6"/>
  <c r="S13" i="6"/>
  <c r="Q11" i="6"/>
  <c r="P28" i="6"/>
  <c r="N21" i="6"/>
  <c r="M20" i="6"/>
  <c r="V27" i="6"/>
  <c r="T20" i="6"/>
  <c r="R13" i="6"/>
  <c r="P11" i="6"/>
  <c r="O28" i="6"/>
  <c r="M21" i="6"/>
  <c r="V28" i="6"/>
  <c r="T21" i="6"/>
  <c r="R19" i="6"/>
  <c r="P12" i="6"/>
  <c r="O5" i="6"/>
  <c r="M27" i="6"/>
  <c r="U28" i="6"/>
  <c r="S21" i="6"/>
  <c r="R20" i="6"/>
  <c r="P13" i="6"/>
  <c r="N11" i="6"/>
  <c r="M28" i="6"/>
  <c r="U5" i="6"/>
  <c r="S27" i="6"/>
  <c r="Q20" i="6"/>
  <c r="O13" i="6"/>
  <c r="M11" i="6"/>
  <c r="L28" i="6"/>
  <c r="H46" i="5" l="1"/>
</calcChain>
</file>

<file path=xl/comments1.xml><?xml version="1.0" encoding="utf-8"?>
<comments xmlns="http://schemas.openxmlformats.org/spreadsheetml/2006/main">
  <authors>
    <author>Tyler</author>
    <author>Jonathan</author>
    <author>Tech Bench x64</author>
  </authors>
  <commentList>
    <comment ref="E5" authorId="0" shapeId="0">
      <text>
        <r>
          <rPr>
            <b/>
            <sz val="9"/>
            <color indexed="81"/>
            <rFont val="Tahoma"/>
            <charset val="1"/>
          </rPr>
          <t>Tyler:</t>
        </r>
        <r>
          <rPr>
            <sz val="9"/>
            <color indexed="81"/>
            <rFont val="Tahoma"/>
            <charset val="1"/>
          </rPr>
          <t xml:space="preserve">
Price/lb is the average price for conventional grain. Assuming organic grain price would increase this to $1.14. However changes would have to be made to yield and inputs.</t>
        </r>
      </text>
    </comment>
    <comment ref="H19" authorId="1" shapeId="0">
      <text>
        <r>
          <rPr>
            <b/>
            <sz val="9"/>
            <color indexed="81"/>
            <rFont val="Tahoma"/>
            <family val="2"/>
          </rPr>
          <t>Jonathan:</t>
        </r>
        <r>
          <rPr>
            <sz val="9"/>
            <color indexed="81"/>
            <rFont val="Tahoma"/>
            <family val="2"/>
          </rPr>
          <t xml:space="preserve">
If owned land, set cash land rent to zero and add fixed cost of owned land in fixed costs section below</t>
        </r>
      </text>
    </comment>
    <comment ref="E21" authorId="2" shapeId="0">
      <text>
        <r>
          <rPr>
            <b/>
            <sz val="9"/>
            <color indexed="81"/>
            <rFont val="Tahoma"/>
            <family val="2"/>
          </rPr>
          <t>Tech Bench x64:</t>
        </r>
        <r>
          <rPr>
            <sz val="9"/>
            <color indexed="81"/>
            <rFont val="Tahoma"/>
            <family val="2"/>
          </rPr>
          <t xml:space="preserve">
Premiums are currently unknown. </t>
        </r>
      </text>
    </comment>
    <comment ref="G22" authorId="2" shapeId="0">
      <text>
        <r>
          <rPr>
            <b/>
            <sz val="9"/>
            <color indexed="81"/>
            <rFont val="Tahoma"/>
            <family val="2"/>
          </rPr>
          <t>Tech Bench x64:</t>
        </r>
        <r>
          <rPr>
            <sz val="9"/>
            <color indexed="81"/>
            <rFont val="Tahoma"/>
            <family val="2"/>
          </rPr>
          <t xml:space="preserve">
Make sure to adjust for number of acres planted. Currently assumes KY application fee and 20 as reqired to procure crop insurance.
</t>
        </r>
      </text>
    </comment>
  </commentList>
</comments>
</file>

<file path=xl/comments2.xml><?xml version="1.0" encoding="utf-8"?>
<comments xmlns="http://schemas.openxmlformats.org/spreadsheetml/2006/main">
  <authors>
    <author>Jonathan</author>
    <author>Tech Bench x64</author>
  </authors>
  <commentList>
    <comment ref="H20" authorId="0" shapeId="0">
      <text>
        <r>
          <rPr>
            <b/>
            <sz val="9"/>
            <color indexed="81"/>
            <rFont val="Tahoma"/>
            <family val="2"/>
          </rPr>
          <t>Jonathan:</t>
        </r>
        <r>
          <rPr>
            <sz val="9"/>
            <color indexed="81"/>
            <rFont val="Tahoma"/>
            <family val="2"/>
          </rPr>
          <t xml:space="preserve">
If owned land, set cash land rent to zero and add fixed cost of owned land in fixed costs section below</t>
        </r>
      </text>
    </comment>
    <comment ref="G21" authorId="1" shapeId="0">
      <text>
        <r>
          <rPr>
            <b/>
            <sz val="9"/>
            <color indexed="81"/>
            <rFont val="Tahoma"/>
            <family val="2"/>
          </rPr>
          <t>Tech Bench x64:</t>
        </r>
        <r>
          <rPr>
            <sz val="9"/>
            <color indexed="81"/>
            <rFont val="Tahoma"/>
            <family val="2"/>
          </rPr>
          <t xml:space="preserve">
Make sure to adjust for the number of acres planted. Currently set to KY application fee and 20 acre requirement for crop insurance.</t>
        </r>
      </text>
    </comment>
  </commentList>
</comments>
</file>

<file path=xl/comments3.xml><?xml version="1.0" encoding="utf-8"?>
<comments xmlns="http://schemas.openxmlformats.org/spreadsheetml/2006/main">
  <authors>
    <author>Jonathan</author>
    <author>Tech Bench x64</author>
  </authors>
  <commentList>
    <comment ref="H27" authorId="0" shapeId="0">
      <text>
        <r>
          <rPr>
            <b/>
            <sz val="9"/>
            <color indexed="81"/>
            <rFont val="Tahoma"/>
            <family val="2"/>
          </rPr>
          <t>Jonathan:</t>
        </r>
        <r>
          <rPr>
            <sz val="9"/>
            <color indexed="81"/>
            <rFont val="Tahoma"/>
            <family val="2"/>
          </rPr>
          <t xml:space="preserve">
If owned land, set cash land rent to zero and add fixed cost of owned land in fixed costs section below</t>
        </r>
      </text>
    </comment>
    <comment ref="G31" authorId="1" shapeId="0">
      <text>
        <r>
          <rPr>
            <b/>
            <sz val="9"/>
            <color indexed="81"/>
            <rFont val="Tahoma"/>
            <family val="2"/>
          </rPr>
          <t>Tech Bench x64:</t>
        </r>
        <r>
          <rPr>
            <sz val="9"/>
            <color indexed="81"/>
            <rFont val="Tahoma"/>
            <family val="2"/>
          </rPr>
          <t xml:space="preserve">
Make sure to adjust for the number of acres planted.</t>
        </r>
      </text>
    </comment>
  </commentList>
</comments>
</file>

<file path=xl/comments4.xml><?xml version="1.0" encoding="utf-8"?>
<comments xmlns="http://schemas.openxmlformats.org/spreadsheetml/2006/main">
  <authors>
    <author>Jonathan</author>
    <author>Tech Bench x64</author>
  </authors>
  <commentList>
    <comment ref="H21" authorId="0" shapeId="0">
      <text>
        <r>
          <rPr>
            <b/>
            <sz val="9"/>
            <color indexed="81"/>
            <rFont val="Tahoma"/>
            <family val="2"/>
          </rPr>
          <t>Jonathan:</t>
        </r>
        <r>
          <rPr>
            <sz val="9"/>
            <color indexed="81"/>
            <rFont val="Tahoma"/>
            <family val="2"/>
          </rPr>
          <t xml:space="preserve">
If owned land, set cash land rent to zero and add fixed cost of owned land in fixed costs section below
</t>
        </r>
      </text>
    </comment>
    <comment ref="G24" authorId="1" shapeId="0">
      <text>
        <r>
          <rPr>
            <b/>
            <sz val="9"/>
            <color indexed="81"/>
            <rFont val="Tahoma"/>
            <family val="2"/>
          </rPr>
          <t>Tech Bench x64:</t>
        </r>
        <r>
          <rPr>
            <sz val="9"/>
            <color indexed="81"/>
            <rFont val="Tahoma"/>
            <family val="2"/>
          </rPr>
          <t xml:space="preserve">
Make sure to adjust for the number of acres planted.</t>
        </r>
      </text>
    </comment>
  </commentList>
</comments>
</file>

<file path=xl/comments5.xml><?xml version="1.0" encoding="utf-8"?>
<comments xmlns="http://schemas.openxmlformats.org/spreadsheetml/2006/main">
  <authors>
    <author>Jonathan</author>
    <author>Tech Bench x64</author>
  </authors>
  <commentList>
    <comment ref="E24" authorId="0" shapeId="0">
      <text>
        <r>
          <rPr>
            <b/>
            <sz val="9"/>
            <color indexed="81"/>
            <rFont val="Tahoma"/>
            <family val="2"/>
          </rPr>
          <t>Jonathan:</t>
        </r>
        <r>
          <rPr>
            <sz val="9"/>
            <color indexed="81"/>
            <rFont val="Tahoma"/>
            <family val="2"/>
          </rPr>
          <t xml:space="preserve">
If using H2A guest workers, please note that labor costs do not include indirect costs (housing, transportation, etc.)</t>
        </r>
      </text>
    </comment>
    <comment ref="G34" authorId="1" shapeId="0">
      <text>
        <r>
          <rPr>
            <b/>
            <sz val="9"/>
            <color indexed="81"/>
            <rFont val="Tahoma"/>
            <family val="2"/>
          </rPr>
          <t>Tech Bench x64:</t>
        </r>
        <r>
          <rPr>
            <sz val="9"/>
            <color indexed="81"/>
            <rFont val="Tahoma"/>
            <family val="2"/>
          </rPr>
          <t xml:space="preserve">
Make sure to adjust for the number of acres planted.</t>
        </r>
      </text>
    </comment>
    <comment ref="H36" authorId="0" shapeId="0">
      <text>
        <r>
          <rPr>
            <b/>
            <sz val="9"/>
            <color indexed="81"/>
            <rFont val="Tahoma"/>
            <family val="2"/>
          </rPr>
          <t>Jonathan:</t>
        </r>
        <r>
          <rPr>
            <sz val="9"/>
            <color indexed="81"/>
            <rFont val="Tahoma"/>
            <family val="2"/>
          </rPr>
          <t xml:space="preserve">
If owned land, set cash land rent to zero and add fixed cost of owned land in fixed costs section below
</t>
        </r>
      </text>
    </comment>
  </commentList>
</comments>
</file>

<file path=xl/comments6.xml><?xml version="1.0" encoding="utf-8"?>
<comments xmlns="http://schemas.openxmlformats.org/spreadsheetml/2006/main">
  <authors>
    <author>Jonathan</author>
    <author>Tech Bench x64</author>
  </authors>
  <commentList>
    <comment ref="E26" authorId="0" shapeId="0">
      <text>
        <r>
          <rPr>
            <b/>
            <sz val="9"/>
            <color indexed="81"/>
            <rFont val="Tahoma"/>
            <family val="2"/>
          </rPr>
          <t>Jonathan:</t>
        </r>
        <r>
          <rPr>
            <sz val="9"/>
            <color indexed="81"/>
            <rFont val="Tahoma"/>
            <family val="2"/>
          </rPr>
          <t xml:space="preserve">
If using H2A guest workers, please note that labor costs do not include indirect costs (housing, transportation, etc.)</t>
        </r>
      </text>
    </comment>
    <comment ref="G38" authorId="1" shapeId="0">
      <text>
        <r>
          <rPr>
            <b/>
            <sz val="9"/>
            <color indexed="81"/>
            <rFont val="Tahoma"/>
            <family val="2"/>
          </rPr>
          <t>Tech Bench x64:</t>
        </r>
        <r>
          <rPr>
            <sz val="9"/>
            <color indexed="81"/>
            <rFont val="Tahoma"/>
            <family val="2"/>
          </rPr>
          <t xml:space="preserve">
Make sure to adjust for the number of acres planted.</t>
        </r>
      </text>
    </comment>
    <comment ref="H40" authorId="0" shapeId="0">
      <text>
        <r>
          <rPr>
            <b/>
            <sz val="9"/>
            <color indexed="81"/>
            <rFont val="Tahoma"/>
            <family val="2"/>
          </rPr>
          <t>Jonathan:</t>
        </r>
        <r>
          <rPr>
            <sz val="9"/>
            <color indexed="81"/>
            <rFont val="Tahoma"/>
            <family val="2"/>
          </rPr>
          <t xml:space="preserve">
If owned land, set cash land rent to zero and add fixed cost of owned land in fixed costs section below
</t>
        </r>
      </text>
    </comment>
  </commentList>
</comments>
</file>

<file path=xl/comments7.xml><?xml version="1.0" encoding="utf-8"?>
<comments xmlns="http://schemas.openxmlformats.org/spreadsheetml/2006/main">
  <authors>
    <author>Jonathan</author>
  </authors>
  <commentList>
    <comment ref="B2" authorId="0" shapeId="0">
      <text>
        <r>
          <rPr>
            <b/>
            <sz val="9"/>
            <color indexed="81"/>
            <rFont val="Tahoma"/>
            <family val="2"/>
          </rPr>
          <t>Jonathan:</t>
        </r>
        <r>
          <rPr>
            <sz val="9"/>
            <color indexed="81"/>
            <rFont val="Tahoma"/>
            <family val="2"/>
          </rPr>
          <t xml:space="preserve">
Enter custom spacing in format of feet by feet</t>
        </r>
      </text>
    </comment>
  </commentList>
</comments>
</file>

<file path=xl/sharedStrings.xml><?xml version="1.0" encoding="utf-8"?>
<sst xmlns="http://schemas.openxmlformats.org/spreadsheetml/2006/main" count="642" uniqueCount="193">
  <si>
    <t>Industrial Hemp Budgets 2021</t>
  </si>
  <si>
    <t>For more information, contact:</t>
  </si>
  <si>
    <t>Tyler Mark</t>
  </si>
  <si>
    <t>Jonathan Shepherd</t>
  </si>
  <si>
    <t>Associate Professor</t>
  </si>
  <si>
    <t>Farm Management Specialist</t>
  </si>
  <si>
    <t>Tyler.Mark@uky.edu</t>
  </si>
  <si>
    <t>jdshepherd@uky.edu</t>
  </si>
  <si>
    <t>859-257-7283</t>
  </si>
  <si>
    <t>859-218-4395</t>
  </si>
  <si>
    <t xml:space="preserve">This decision tool has been created to help producers budget for industrial hemp </t>
  </si>
  <si>
    <t xml:space="preserve">production.  To navigate through the tool, please click on the tabs below.  </t>
  </si>
  <si>
    <t>Additional comments have been added throughout the tabs to help guide you.</t>
  </si>
  <si>
    <t>Last Updated 02/18/2021</t>
  </si>
  <si>
    <t>Hemp Grain</t>
  </si>
  <si>
    <t>Sensitivty Analysis</t>
  </si>
  <si>
    <t>Returns Above All Specified Costs (#/AC)</t>
  </si>
  <si>
    <t>Quant.</t>
  </si>
  <si>
    <t>Unit</t>
  </si>
  <si>
    <t>Price</t>
  </si>
  <si>
    <t>Total</t>
  </si>
  <si>
    <t>Gross Returns Per Acre</t>
  </si>
  <si>
    <t>Price/#</t>
  </si>
  <si>
    <t>lbs</t>
  </si>
  <si>
    <t>Crop Insurance</t>
  </si>
  <si>
    <t>acre</t>
  </si>
  <si>
    <t>Total Revenue</t>
  </si>
  <si>
    <t>Variable Costs Per Acre</t>
  </si>
  <si>
    <t>Seed</t>
  </si>
  <si>
    <t>Nitrogen (Solid urea 46% N)</t>
  </si>
  <si>
    <t>units</t>
  </si>
  <si>
    <t>Phosphorous (P2O5)</t>
  </si>
  <si>
    <t>Potassium (K2O)</t>
  </si>
  <si>
    <t xml:space="preserve">Lime - Delivered and Spread </t>
  </si>
  <si>
    <t>ton</t>
  </si>
  <si>
    <t>Chemicals (not yet available)</t>
  </si>
  <si>
    <t>Soil Test</t>
  </si>
  <si>
    <t>field</t>
  </si>
  <si>
    <t>Hauling Costs</t>
  </si>
  <si>
    <t>bu</t>
  </si>
  <si>
    <t xml:space="preserve">Custom Work </t>
  </si>
  <si>
    <t>Cash Land Rent</t>
  </si>
  <si>
    <t>Drying Cost</t>
  </si>
  <si>
    <t>Points Removed</t>
  </si>
  <si>
    <t>Application &amp; License Fee</t>
  </si>
  <si>
    <t>per year</t>
  </si>
  <si>
    <t># of acres</t>
  </si>
  <si>
    <t>Repairs</t>
  </si>
  <si>
    <t>Consulting Services</t>
  </si>
  <si>
    <t>Interest on Operating Capital</t>
  </si>
  <si>
    <t>dollars</t>
  </si>
  <si>
    <t># of Months</t>
  </si>
  <si>
    <t>Other Variable Costs</t>
  </si>
  <si>
    <t>Unallocated Labor</t>
  </si>
  <si>
    <t>Total Variable Costs Per Acre</t>
  </si>
  <si>
    <t>Return Above Variable Costs Per Acre</t>
  </si>
  <si>
    <t>Tractor (225HP 4WD)</t>
  </si>
  <si>
    <t>Tractor (75HP MFWD)</t>
  </si>
  <si>
    <t>Drill 15'</t>
  </si>
  <si>
    <t>Combine Harvester</t>
  </si>
  <si>
    <t>Combine Draper Head /acre</t>
  </si>
  <si>
    <t>30'</t>
  </si>
  <si>
    <t>Grain Cart</t>
  </si>
  <si>
    <t>Disk Harrow*</t>
  </si>
  <si>
    <t>Misc Equip</t>
  </si>
  <si>
    <t>Taxes &amp; Insurance</t>
  </si>
  <si>
    <t>Other Fixed Costs</t>
  </si>
  <si>
    <t>Operator Labor (Fixed)</t>
  </si>
  <si>
    <t>hours</t>
  </si>
  <si>
    <t>Storage</t>
  </si>
  <si>
    <t>Land Cost (Owned)</t>
  </si>
  <si>
    <t>Total Specified Fixed Costs</t>
  </si>
  <si>
    <t>Returns Above All Specified Costs</t>
  </si>
  <si>
    <t>*indicates a custom rate estimation</t>
  </si>
  <si>
    <t>Hemp Fiber</t>
  </si>
  <si>
    <t>Moving Bales to Storage</t>
  </si>
  <si>
    <t>miles</t>
  </si>
  <si>
    <t>Rake</t>
  </si>
  <si>
    <t>Sickle Cutter</t>
  </si>
  <si>
    <t>Baler</t>
  </si>
  <si>
    <t>CBD Row Crop W/Grain Harvested</t>
  </si>
  <si>
    <t>CBD%</t>
  </si>
  <si>
    <t>Price Per %</t>
  </si>
  <si>
    <t>Total Yield Per Plant</t>
  </si>
  <si>
    <t>Dry Matter Yield</t>
  </si>
  <si>
    <t>Disk Harrow</t>
  </si>
  <si>
    <t>Grinding Cost</t>
  </si>
  <si>
    <t>Tote Containers</t>
  </si>
  <si>
    <t>Hauling Costs-Grain</t>
  </si>
  <si>
    <t>Hauling Costs-Floral Material</t>
  </si>
  <si>
    <t>Drying Costs Floral Materal</t>
  </si>
  <si>
    <t>Drying Costs Grain</t>
  </si>
  <si>
    <t>crop year</t>
  </si>
  <si>
    <t># of Acres</t>
  </si>
  <si>
    <t>Lab Test</t>
  </si>
  <si>
    <t># of tests</t>
  </si>
  <si>
    <t>Specified Fixed Costs</t>
  </si>
  <si>
    <t xml:space="preserve">Unit </t>
  </si>
  <si>
    <t>Silage Wagon/Cart</t>
  </si>
  <si>
    <t>CBD Row Crop No Grain Harvested/Ensiled</t>
  </si>
  <si>
    <t>Silage Bag</t>
  </si>
  <si>
    <t># of test</t>
  </si>
  <si>
    <t xml:space="preserve">Other Variable Costs </t>
  </si>
  <si>
    <t>Silage Chopper</t>
  </si>
  <si>
    <t>row head</t>
  </si>
  <si>
    <t>hour</t>
  </si>
  <si>
    <t>Hauling/Filling Silage Bag</t>
  </si>
  <si>
    <t>Feet</t>
  </si>
  <si>
    <t>CBD Tobacco Model</t>
  </si>
  <si>
    <t>Returns Above All Specified Costs (%/lb DFM)</t>
  </si>
  <si>
    <t>$/%/LB</t>
  </si>
  <si>
    <t xml:space="preserve">Price Per % </t>
  </si>
  <si>
    <t>Plant Spacing</t>
  </si>
  <si>
    <t>4x4</t>
  </si>
  <si>
    <t>Plants Per Acre</t>
  </si>
  <si>
    <t>Dry Floral Material (DFM) Per Plant [lbs]</t>
  </si>
  <si>
    <t>Harvest Index (1=100%)</t>
  </si>
  <si>
    <t>Total Marketable Dry Floral</t>
  </si>
  <si>
    <t>DFM LB/Acre</t>
  </si>
  <si>
    <t xml:space="preserve">Returns Above All Specified Costs at </t>
  </si>
  <si>
    <t>/%CBD</t>
  </si>
  <si>
    <t>Transplants</t>
  </si>
  <si>
    <t>plants</t>
  </si>
  <si>
    <t>Transplant Tranportation</t>
  </si>
  <si>
    <t>trip</t>
  </si>
  <si>
    <t xml:space="preserve">Chemicals </t>
  </si>
  <si>
    <t>Cultivation (hand/mechanical)</t>
  </si>
  <si>
    <t xml:space="preserve">Roguing males </t>
  </si>
  <si>
    <t>Harvest Cost</t>
  </si>
  <si>
    <t>Operator Labor (Variable)</t>
  </si>
  <si>
    <t>Drying Costs</t>
  </si>
  <si>
    <t xml:space="preserve">lbs wet </t>
  </si>
  <si>
    <t>Tote Container</t>
  </si>
  <si>
    <t>Crop insurance</t>
  </si>
  <si>
    <t>Unallocated Labor (hired)</t>
  </si>
  <si>
    <t>Quant</t>
  </si>
  <si>
    <t>Plow</t>
  </si>
  <si>
    <t>Disc</t>
  </si>
  <si>
    <t>Planter</t>
  </si>
  <si>
    <t>Cultivation (traditional)*</t>
  </si>
  <si>
    <t># of Passes</t>
  </si>
  <si>
    <t>CBD Plasticulture Model</t>
  </si>
  <si>
    <t>5x5</t>
  </si>
  <si>
    <t>Transplant Transportation Cost</t>
  </si>
  <si>
    <t>Planting/Setting</t>
  </si>
  <si>
    <t>Plastic Mulch/Drip Line</t>
  </si>
  <si>
    <t>Fertigation</t>
  </si>
  <si>
    <t>Fertigation N</t>
  </si>
  <si>
    <t>Fertigation Other</t>
  </si>
  <si>
    <t>Roguing Male Plants</t>
  </si>
  <si>
    <t>lbs of wet</t>
  </si>
  <si>
    <t>Tote Containters</t>
  </si>
  <si>
    <t>Plastic Mulch Removal</t>
  </si>
  <si>
    <t>Tractor (100HP 4WD)</t>
  </si>
  <si>
    <t>Plastic Equip</t>
  </si>
  <si>
    <t>Land Rent</t>
  </si>
  <si>
    <t>Spacing (Feet by Feet)</t>
  </si>
  <si>
    <t>Custom Spacing</t>
  </si>
  <si>
    <t>1x1</t>
  </si>
  <si>
    <t>1x2</t>
  </si>
  <si>
    <t>1x3</t>
  </si>
  <si>
    <t>1x4</t>
  </si>
  <si>
    <t>1x5</t>
  </si>
  <si>
    <t>1x6</t>
  </si>
  <si>
    <t>2x1</t>
  </si>
  <si>
    <t>2x2</t>
  </si>
  <si>
    <t>2x3</t>
  </si>
  <si>
    <t>2x4</t>
  </si>
  <si>
    <t>2x5</t>
  </si>
  <si>
    <t>2x6</t>
  </si>
  <si>
    <t>3x1</t>
  </si>
  <si>
    <t>3x2</t>
  </si>
  <si>
    <t>3x3</t>
  </si>
  <si>
    <t>3x4</t>
  </si>
  <si>
    <t>3x5</t>
  </si>
  <si>
    <t>3x6</t>
  </si>
  <si>
    <t>4x1</t>
  </si>
  <si>
    <t>4x2</t>
  </si>
  <si>
    <t>4x3</t>
  </si>
  <si>
    <t>4x5</t>
  </si>
  <si>
    <t>4x6</t>
  </si>
  <si>
    <t>5x1</t>
  </si>
  <si>
    <t>5x2</t>
  </si>
  <si>
    <t>5x3</t>
  </si>
  <si>
    <t>5x4</t>
  </si>
  <si>
    <t>5x6</t>
  </si>
  <si>
    <t>6x1</t>
  </si>
  <si>
    <t>6x2</t>
  </si>
  <si>
    <t>6x3</t>
  </si>
  <si>
    <t>6x4</t>
  </si>
  <si>
    <t>6x5</t>
  </si>
  <si>
    <t>6x6</t>
  </si>
  <si>
    <t>cost per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</si>
</sst>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7" formatCode="&quot;$&quot;#,##0.00_);\(&quot;$&quot;#,##0.00\)"/>
    <numFmt numFmtId="8" formatCode="&quot;$&quot;#,##0.00_);[Red]\(&quot;$&quot;#,##0.00\)"/>
    <numFmt numFmtId="43" formatCode="_(* #,##0.00_);_(* \(#,##0.00\);_(* &quot;-&quot;??_);_(@_)"/>
    <numFmt numFmtId="164" formatCode="&quot;$&quot;#,##0.00"/>
    <numFmt numFmtId="165" formatCode="_(* #,##0_);_(* \(#,##0\);_(* &quot;-&quot;??_);_(@_)"/>
    <numFmt numFmtId="166" formatCode="0.0"/>
    <numFmt numFmtId="167" formatCode="0.0%"/>
    <numFmt numFmtId="168" formatCode="&quot;$&quot;#,##0"/>
    <numFmt numFmtId="169" formatCode="#,##0.0"/>
    <numFmt numFmtId="170" formatCode="&quot;$&quot;#,##0.000"/>
  </numFmts>
  <fonts count="34" x14ac:knownFonts="1">
    <font>
      <sz val="11"/>
      <color theme="1"/>
      <name val="Calibri"/>
      <family val="2"/>
      <scheme val="minor"/>
    </font>
    <font>
      <sz val="11"/>
      <color theme="1"/>
      <name val="Calibri"/>
      <family val="2"/>
      <scheme val="minor"/>
    </font>
    <font>
      <b/>
      <sz val="12"/>
      <name val="Arial"/>
      <family val="2"/>
    </font>
    <font>
      <sz val="11"/>
      <color theme="1"/>
      <name val="Calibri"/>
      <family val="2"/>
    </font>
    <font>
      <b/>
      <sz val="10"/>
      <name val="Calibri"/>
      <family val="2"/>
    </font>
    <font>
      <b/>
      <sz val="10"/>
      <name val="Arial"/>
      <family val="2"/>
    </font>
    <font>
      <b/>
      <sz val="10"/>
      <color rgb="FF002060"/>
      <name val="Calibri"/>
      <family val="2"/>
    </font>
    <font>
      <sz val="11"/>
      <color rgb="FF002060"/>
      <name val="Calibri"/>
      <family val="2"/>
    </font>
    <font>
      <b/>
      <sz val="11"/>
      <color rgb="FF002060"/>
      <name val="Calibri"/>
      <family val="2"/>
    </font>
    <font>
      <b/>
      <sz val="10"/>
      <name val="Calibri"/>
      <family val="2"/>
      <scheme val="minor"/>
    </font>
    <font>
      <b/>
      <sz val="10"/>
      <color rgb="FF002060"/>
      <name val="Calibri"/>
      <family val="2"/>
      <scheme val="minor"/>
    </font>
    <font>
      <sz val="11"/>
      <color rgb="FF002060"/>
      <name val="Calibri"/>
      <family val="2"/>
      <scheme val="minor"/>
    </font>
    <font>
      <b/>
      <sz val="11"/>
      <color rgb="FF002060"/>
      <name val="Calibri"/>
      <family val="2"/>
      <scheme val="minor"/>
    </font>
    <font>
      <b/>
      <sz val="11"/>
      <color theme="1"/>
      <name val="Calibri"/>
      <family val="2"/>
      <scheme val="minor"/>
    </font>
    <font>
      <sz val="11"/>
      <name val="Calibri"/>
      <family val="2"/>
    </font>
    <font>
      <sz val="11"/>
      <name val="Calibri"/>
      <family val="2"/>
      <scheme val="minor"/>
    </font>
    <font>
      <b/>
      <sz val="11"/>
      <name val="Arial"/>
      <family val="2"/>
    </font>
    <font>
      <b/>
      <sz val="14"/>
      <name val="Arial"/>
      <family val="2"/>
    </font>
    <font>
      <sz val="14"/>
      <name val="Arial"/>
      <family val="2"/>
    </font>
    <font>
      <b/>
      <i/>
      <sz val="10"/>
      <name val="Arial"/>
      <family val="2"/>
    </font>
    <font>
      <u/>
      <sz val="11"/>
      <color theme="10"/>
      <name val="Calibri"/>
      <family val="2"/>
      <scheme val="minor"/>
    </font>
    <font>
      <b/>
      <u/>
      <sz val="10"/>
      <name val="Arial"/>
      <family val="2"/>
    </font>
    <font>
      <sz val="12"/>
      <color theme="1"/>
      <name val="Times New Roman"/>
      <family val="1"/>
    </font>
    <font>
      <sz val="12"/>
      <name val="Times New Roman"/>
      <family val="1"/>
    </font>
    <font>
      <sz val="9"/>
      <color indexed="81"/>
      <name val="Tahoma"/>
      <family val="2"/>
    </font>
    <font>
      <b/>
      <sz val="9"/>
      <color indexed="81"/>
      <name val="Tahoma"/>
      <family val="2"/>
    </font>
    <font>
      <b/>
      <sz val="11"/>
      <name val="Calibri"/>
      <family val="2"/>
      <scheme val="minor"/>
    </font>
    <font>
      <b/>
      <sz val="10"/>
      <color theme="8" tint="-0.499984740745262"/>
      <name val="Calibri"/>
      <family val="2"/>
      <scheme val="minor"/>
    </font>
    <font>
      <sz val="11"/>
      <color theme="8" tint="-0.499984740745262"/>
      <name val="Calibri"/>
      <family val="2"/>
      <scheme val="minor"/>
    </font>
    <font>
      <b/>
      <sz val="10"/>
      <color rgb="FF002060"/>
      <name val="Arial"/>
      <family val="2"/>
    </font>
    <font>
      <sz val="10"/>
      <color theme="1"/>
      <name val="Arial"/>
      <family val="2"/>
    </font>
    <font>
      <b/>
      <sz val="10"/>
      <color theme="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theme="0"/>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4" tint="-0.249977111117893"/>
        <bgColor rgb="FF000000"/>
      </patternFill>
    </fill>
    <fill>
      <patternFill patternType="solid">
        <fgColor theme="4" tint="0.39997558519241921"/>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20" fillId="0" borderId="0" applyNumberFormat="0" applyFill="0" applyBorder="0" applyAlignment="0" applyProtection="0"/>
  </cellStyleXfs>
  <cellXfs count="363">
    <xf numFmtId="0" fontId="0" fillId="0" borderId="0" xfId="0"/>
    <xf numFmtId="0" fontId="3" fillId="0" borderId="4" xfId="0" applyFont="1" applyFill="1" applyBorder="1"/>
    <xf numFmtId="0" fontId="3" fillId="0" borderId="4" xfId="0" applyFont="1" applyFill="1" applyBorder="1" applyAlignment="1">
      <alignment wrapText="1"/>
    </xf>
    <xf numFmtId="0" fontId="4" fillId="0" borderId="4" xfId="0" applyFont="1" applyFill="1" applyBorder="1" applyAlignment="1">
      <alignment horizontal="center" wrapText="1"/>
    </xf>
    <xf numFmtId="0" fontId="3" fillId="0" borderId="0" xfId="0" applyFont="1" applyFill="1" applyBorder="1"/>
    <xf numFmtId="7" fontId="6" fillId="0" borderId="4" xfId="1" applyNumberFormat="1" applyFont="1" applyFill="1" applyBorder="1" applyProtection="1"/>
    <xf numFmtId="165" fontId="6" fillId="0" borderId="4" xfId="1" applyNumberFormat="1" applyFont="1" applyFill="1" applyBorder="1" applyProtection="1"/>
    <xf numFmtId="0" fontId="7" fillId="0" borderId="4" xfId="0" applyFont="1" applyFill="1" applyBorder="1"/>
    <xf numFmtId="164" fontId="6" fillId="0" borderId="4" xfId="0" applyNumberFormat="1" applyFont="1" applyFill="1" applyBorder="1" applyProtection="1"/>
    <xf numFmtId="164" fontId="7" fillId="0" borderId="4" xfId="0" applyNumberFormat="1" applyFont="1" applyFill="1" applyBorder="1"/>
    <xf numFmtId="2" fontId="6" fillId="0" borderId="4" xfId="0" applyNumberFormat="1" applyFont="1" applyFill="1" applyBorder="1" applyProtection="1">
      <protection locked="0"/>
    </xf>
    <xf numFmtId="164" fontId="6" fillId="0" borderId="4" xfId="0" applyNumberFormat="1" applyFont="1" applyFill="1" applyBorder="1" applyProtection="1">
      <protection locked="0"/>
    </xf>
    <xf numFmtId="1" fontId="6" fillId="0" borderId="4" xfId="0" applyNumberFormat="1" applyFont="1" applyFill="1" applyBorder="1" applyProtection="1">
      <protection locked="0"/>
    </xf>
    <xf numFmtId="0" fontId="6" fillId="0" borderId="4" xfId="0" applyFont="1" applyFill="1" applyBorder="1" applyProtection="1">
      <protection locked="0"/>
    </xf>
    <xf numFmtId="166" fontId="6" fillId="0" borderId="4" xfId="0" applyNumberFormat="1" applyFont="1" applyFill="1" applyBorder="1" applyProtection="1">
      <protection locked="0"/>
    </xf>
    <xf numFmtId="0" fontId="8" fillId="0" borderId="4" xfId="0" applyFont="1" applyFill="1" applyBorder="1"/>
    <xf numFmtId="164" fontId="6" fillId="0" borderId="1" xfId="0" applyNumberFormat="1" applyFont="1" applyFill="1" applyBorder="1" applyProtection="1">
      <protection locked="0"/>
    </xf>
    <xf numFmtId="165" fontId="8" fillId="0" borderId="4" xfId="0" applyNumberFormat="1" applyFont="1" applyFill="1" applyBorder="1"/>
    <xf numFmtId="164" fontId="6" fillId="0" borderId="1" xfId="0" applyNumberFormat="1" applyFont="1" applyFill="1" applyBorder="1" applyProtection="1"/>
    <xf numFmtId="167" fontId="6" fillId="0" borderId="4" xfId="0" applyNumberFormat="1" applyFont="1" applyFill="1" applyBorder="1" applyProtection="1">
      <protection locked="0"/>
    </xf>
    <xf numFmtId="0" fontId="0" fillId="0" borderId="4" xfId="0" applyBorder="1"/>
    <xf numFmtId="0" fontId="0" fillId="0" borderId="4" xfId="0" applyBorder="1" applyAlignment="1">
      <alignment wrapText="1"/>
    </xf>
    <xf numFmtId="0" fontId="0" fillId="0" borderId="4" xfId="0" applyFont="1" applyBorder="1" applyAlignment="1">
      <alignment wrapText="1"/>
    </xf>
    <xf numFmtId="0" fontId="9" fillId="0" borderId="4" xfId="0" applyFont="1" applyBorder="1" applyAlignment="1">
      <alignment horizontal="center" wrapText="1"/>
    </xf>
    <xf numFmtId="0" fontId="0" fillId="0" borderId="4" xfId="0" applyFont="1" applyBorder="1"/>
    <xf numFmtId="165" fontId="10" fillId="0" borderId="4" xfId="1" applyNumberFormat="1" applyFont="1" applyBorder="1" applyProtection="1"/>
    <xf numFmtId="0" fontId="11" fillId="0" borderId="4" xfId="0" applyFont="1" applyBorder="1"/>
    <xf numFmtId="164" fontId="10" fillId="0" borderId="4" xfId="0" applyNumberFormat="1" applyFont="1" applyBorder="1" applyProtection="1"/>
    <xf numFmtId="1" fontId="10" fillId="0" borderId="4" xfId="0" applyNumberFormat="1" applyFont="1" applyFill="1" applyBorder="1" applyProtection="1">
      <protection locked="0"/>
    </xf>
    <xf numFmtId="0" fontId="11" fillId="0" borderId="4" xfId="0" applyFont="1" applyFill="1" applyBorder="1"/>
    <xf numFmtId="164" fontId="10" fillId="0" borderId="4" xfId="0" applyNumberFormat="1" applyFont="1" applyFill="1" applyBorder="1" applyProtection="1">
      <protection locked="0"/>
    </xf>
    <xf numFmtId="0" fontId="10" fillId="0" borderId="4" xfId="0" applyFont="1" applyFill="1" applyBorder="1" applyProtection="1">
      <protection locked="0"/>
    </xf>
    <xf numFmtId="164" fontId="10" fillId="0" borderId="4" xfId="0" applyNumberFormat="1" applyFont="1" applyBorder="1" applyProtection="1">
      <protection locked="0"/>
    </xf>
    <xf numFmtId="166" fontId="10" fillId="0" borderId="4" xfId="0" applyNumberFormat="1" applyFont="1" applyFill="1" applyBorder="1" applyProtection="1">
      <protection locked="0"/>
    </xf>
    <xf numFmtId="0" fontId="12" fillId="0" borderId="4" xfId="0" applyFont="1" applyBorder="1"/>
    <xf numFmtId="164" fontId="10" fillId="0" borderId="1" xfId="0" applyNumberFormat="1" applyFont="1" applyFill="1" applyBorder="1" applyProtection="1">
      <protection locked="0"/>
    </xf>
    <xf numFmtId="164" fontId="10" fillId="0" borderId="1" xfId="0" applyNumberFormat="1" applyFont="1" applyFill="1" applyBorder="1" applyProtection="1"/>
    <xf numFmtId="0" fontId="0" fillId="0" borderId="4" xfId="0" applyFont="1" applyFill="1" applyBorder="1"/>
    <xf numFmtId="167" fontId="10" fillId="0" borderId="4" xfId="0" applyNumberFormat="1" applyFont="1" applyBorder="1" applyProtection="1">
      <protection locked="0"/>
    </xf>
    <xf numFmtId="165" fontId="12" fillId="0" borderId="4" xfId="0" applyNumberFormat="1" applyFont="1" applyBorder="1"/>
    <xf numFmtId="167" fontId="6" fillId="0" borderId="4" xfId="1" applyNumberFormat="1" applyFont="1" applyFill="1" applyBorder="1" applyProtection="1"/>
    <xf numFmtId="2" fontId="10" fillId="0" borderId="4" xfId="0" applyNumberFormat="1" applyFont="1" applyFill="1" applyBorder="1" applyProtection="1">
      <protection locked="0"/>
    </xf>
    <xf numFmtId="169" fontId="10" fillId="0" borderId="4" xfId="0" applyNumberFormat="1" applyFont="1" applyBorder="1" applyProtection="1">
      <protection locked="0"/>
    </xf>
    <xf numFmtId="170" fontId="10" fillId="0" borderId="4" xfId="0" applyNumberFormat="1" applyFont="1" applyBorder="1" applyProtection="1">
      <protection locked="0"/>
    </xf>
    <xf numFmtId="170" fontId="10" fillId="0" borderId="1" xfId="0" applyNumberFormat="1" applyFont="1" applyFill="1" applyBorder="1" applyProtection="1"/>
    <xf numFmtId="4" fontId="10" fillId="0" borderId="1" xfId="0" applyNumberFormat="1" applyFont="1" applyFill="1" applyBorder="1" applyProtection="1"/>
    <xf numFmtId="3" fontId="10" fillId="0" borderId="1" xfId="0" applyNumberFormat="1" applyFont="1" applyFill="1" applyBorder="1" applyProtection="1">
      <protection locked="0"/>
    </xf>
    <xf numFmtId="170" fontId="6" fillId="0" borderId="1" xfId="0" applyNumberFormat="1" applyFont="1" applyFill="1" applyBorder="1" applyProtection="1"/>
    <xf numFmtId="3" fontId="6" fillId="0" borderId="4" xfId="0" applyNumberFormat="1" applyFont="1" applyFill="1" applyBorder="1" applyProtection="1">
      <protection locked="0"/>
    </xf>
    <xf numFmtId="37" fontId="6" fillId="0" borderId="4" xfId="1" applyNumberFormat="1" applyFont="1" applyFill="1" applyBorder="1" applyProtection="1"/>
    <xf numFmtId="0" fontId="3" fillId="2" borderId="0" xfId="0" applyFont="1" applyFill="1" applyBorder="1"/>
    <xf numFmtId="170" fontId="6" fillId="0" borderId="4" xfId="0" applyNumberFormat="1" applyFont="1" applyFill="1" applyBorder="1" applyProtection="1">
      <protection locked="0"/>
    </xf>
    <xf numFmtId="9" fontId="6" fillId="0" borderId="4" xfId="0" applyNumberFormat="1" applyFont="1" applyFill="1" applyBorder="1" applyProtection="1"/>
    <xf numFmtId="164" fontId="10" fillId="0" borderId="1" xfId="0" applyNumberFormat="1" applyFont="1" applyBorder="1" applyProtection="1">
      <protection locked="0"/>
    </xf>
    <xf numFmtId="3" fontId="6" fillId="0" borderId="1" xfId="0" applyNumberFormat="1" applyFont="1" applyFill="1" applyBorder="1" applyProtection="1"/>
    <xf numFmtId="7" fontId="7" fillId="0" borderId="4" xfId="0" applyNumberFormat="1" applyFont="1" applyFill="1" applyBorder="1"/>
    <xf numFmtId="0" fontId="14" fillId="0" borderId="4" xfId="0" applyFont="1" applyFill="1" applyBorder="1"/>
    <xf numFmtId="0" fontId="15" fillId="0" borderId="4" xfId="0" applyFont="1" applyBorder="1"/>
    <xf numFmtId="0" fontId="5" fillId="5" borderId="4" xfId="0" applyFont="1" applyFill="1" applyBorder="1" applyAlignment="1"/>
    <xf numFmtId="0" fontId="4" fillId="5" borderId="4" xfId="0" applyFont="1" applyFill="1" applyBorder="1" applyAlignment="1"/>
    <xf numFmtId="0" fontId="4" fillId="5" borderId="4" xfId="0" applyFont="1" applyFill="1" applyBorder="1"/>
    <xf numFmtId="0" fontId="7" fillId="5" borderId="4" xfId="0" applyFont="1" applyFill="1" applyBorder="1"/>
    <xf numFmtId="164" fontId="6" fillId="5" borderId="4" xfId="0" applyNumberFormat="1" applyFont="1" applyFill="1" applyBorder="1"/>
    <xf numFmtId="0" fontId="5" fillId="5" borderId="4" xfId="0" applyFont="1" applyFill="1" applyBorder="1"/>
    <xf numFmtId="0" fontId="3" fillId="5" borderId="4" xfId="0" applyFont="1" applyFill="1" applyBorder="1"/>
    <xf numFmtId="0" fontId="3" fillId="3" borderId="0" xfId="0" applyFont="1" applyFill="1" applyBorder="1"/>
    <xf numFmtId="0" fontId="3" fillId="6" borderId="0" xfId="0" applyFont="1" applyFill="1" applyBorder="1"/>
    <xf numFmtId="164" fontId="6" fillId="6" borderId="4" xfId="0" applyNumberFormat="1" applyFont="1" applyFill="1" applyBorder="1" applyProtection="1"/>
    <xf numFmtId="164" fontId="7" fillId="6" borderId="4" xfId="0" applyNumberFormat="1" applyFont="1" applyFill="1" applyBorder="1"/>
    <xf numFmtId="9" fontId="6" fillId="6" borderId="4" xfId="0" applyNumberFormat="1" applyFont="1" applyFill="1" applyBorder="1" applyProtection="1"/>
    <xf numFmtId="0" fontId="8" fillId="3" borderId="1" xfId="0" applyFont="1" applyFill="1" applyBorder="1" applyAlignment="1"/>
    <xf numFmtId="0" fontId="8" fillId="3" borderId="2" xfId="0" applyFont="1" applyFill="1" applyBorder="1" applyAlignment="1"/>
    <xf numFmtId="168" fontId="8" fillId="3" borderId="4" xfId="0" applyNumberFormat="1" applyFont="1" applyFill="1" applyBorder="1"/>
    <xf numFmtId="0" fontId="5" fillId="7" borderId="4" xfId="0" applyFont="1" applyFill="1" applyBorder="1"/>
    <xf numFmtId="0" fontId="3" fillId="7" borderId="4" xfId="0" applyFont="1" applyFill="1" applyBorder="1"/>
    <xf numFmtId="0" fontId="7" fillId="7" borderId="4" xfId="0" applyFont="1" applyFill="1" applyBorder="1"/>
    <xf numFmtId="164" fontId="6" fillId="7" borderId="4" xfId="0" applyNumberFormat="1" applyFont="1" applyFill="1" applyBorder="1"/>
    <xf numFmtId="0" fontId="16" fillId="7" borderId="4" xfId="0" applyFont="1" applyFill="1" applyBorder="1"/>
    <xf numFmtId="164" fontId="8" fillId="7" borderId="4" xfId="0" applyNumberFormat="1" applyFont="1" applyFill="1" applyBorder="1"/>
    <xf numFmtId="0" fontId="5" fillId="7" borderId="4" xfId="0" applyFont="1" applyFill="1" applyBorder="1" applyAlignment="1"/>
    <xf numFmtId="0" fontId="4" fillId="7" borderId="4" xfId="0" applyFont="1" applyFill="1" applyBorder="1" applyAlignment="1"/>
    <xf numFmtId="0" fontId="4" fillId="7" borderId="4" xfId="0" applyFont="1" applyFill="1" applyBorder="1"/>
    <xf numFmtId="0" fontId="0" fillId="5" borderId="0" xfId="0" applyFill="1"/>
    <xf numFmtId="0" fontId="9" fillId="7" borderId="4" xfId="0" applyFont="1" applyFill="1" applyBorder="1" applyAlignment="1"/>
    <xf numFmtId="0" fontId="9" fillId="7" borderId="4" xfId="0" applyFont="1" applyFill="1" applyBorder="1"/>
    <xf numFmtId="0" fontId="11" fillId="7" borderId="4" xfId="0" applyFont="1" applyFill="1" applyBorder="1"/>
    <xf numFmtId="164" fontId="10" fillId="7" borderId="4" xfId="0" applyNumberFormat="1" applyFont="1" applyFill="1" applyBorder="1"/>
    <xf numFmtId="0" fontId="0" fillId="7" borderId="4" xfId="0" applyFont="1" applyFill="1" applyBorder="1"/>
    <xf numFmtId="0" fontId="12" fillId="7" borderId="2" xfId="0" applyFont="1" applyFill="1" applyBorder="1" applyAlignment="1"/>
    <xf numFmtId="168" fontId="12" fillId="7" borderId="4" xfId="0" applyNumberFormat="1" applyFont="1" applyFill="1" applyBorder="1"/>
    <xf numFmtId="164" fontId="12" fillId="7" borderId="4" xfId="0" applyNumberFormat="1" applyFont="1" applyFill="1" applyBorder="1"/>
    <xf numFmtId="0" fontId="9" fillId="5" borderId="4" xfId="0" applyFont="1" applyFill="1" applyBorder="1" applyAlignment="1"/>
    <xf numFmtId="0" fontId="9" fillId="5" borderId="4" xfId="0" applyFont="1" applyFill="1" applyBorder="1"/>
    <xf numFmtId="0" fontId="11" fillId="5" borderId="4" xfId="0" applyFont="1" applyFill="1" applyBorder="1"/>
    <xf numFmtId="164" fontId="10" fillId="5" borderId="4" xfId="0" applyNumberFormat="1" applyFont="1" applyFill="1" applyBorder="1"/>
    <xf numFmtId="0" fontId="0" fillId="5" borderId="4" xfId="0" applyFont="1" applyFill="1" applyBorder="1"/>
    <xf numFmtId="0" fontId="12" fillId="5" borderId="1" xfId="0" applyFont="1" applyFill="1" applyBorder="1" applyAlignment="1"/>
    <xf numFmtId="0" fontId="12" fillId="5" borderId="2" xfId="0" applyFont="1" applyFill="1" applyBorder="1" applyAlignment="1"/>
    <xf numFmtId="168" fontId="12" fillId="5" borderId="4" xfId="0" applyNumberFormat="1" applyFont="1" applyFill="1" applyBorder="1"/>
    <xf numFmtId="164" fontId="8" fillId="0" borderId="4" xfId="0" applyNumberFormat="1" applyFont="1" applyFill="1" applyBorder="1"/>
    <xf numFmtId="165" fontId="8" fillId="0" borderId="4" xfId="0" applyNumberFormat="1" applyFont="1" applyFill="1" applyBorder="1" applyAlignment="1">
      <alignment horizontal="right"/>
    </xf>
    <xf numFmtId="0" fontId="20" fillId="5" borderId="0" xfId="2" applyFill="1" applyAlignment="1" applyProtection="1"/>
    <xf numFmtId="0" fontId="0" fillId="0" borderId="0" xfId="0" applyFill="1"/>
    <xf numFmtId="0" fontId="19" fillId="0" borderId="0" xfId="0" applyFont="1"/>
    <xf numFmtId="0" fontId="21" fillId="0" borderId="0" xfId="0" applyFont="1" applyBorder="1" applyAlignment="1">
      <alignment vertical="center"/>
    </xf>
    <xf numFmtId="0" fontId="22" fillId="0" borderId="0" xfId="0" applyFont="1" applyFill="1"/>
    <xf numFmtId="0" fontId="23" fillId="0" borderId="0" xfId="0" applyFont="1" applyFill="1"/>
    <xf numFmtId="0" fontId="0" fillId="9" borderId="0" xfId="0" applyFill="1"/>
    <xf numFmtId="0" fontId="0" fillId="9" borderId="0" xfId="0" quotePrefix="1" applyFill="1"/>
    <xf numFmtId="10" fontId="0" fillId="9" borderId="0" xfId="0" applyNumberFormat="1" applyFill="1"/>
    <xf numFmtId="1" fontId="10" fillId="0" borderId="4" xfId="0" applyNumberFormat="1" applyFont="1" applyFill="1" applyBorder="1" applyAlignment="1" applyProtection="1">
      <alignment horizontal="right"/>
      <protection locked="0"/>
    </xf>
    <xf numFmtId="0" fontId="10" fillId="0" borderId="4" xfId="0" applyFont="1" applyFill="1" applyBorder="1" applyAlignment="1" applyProtection="1">
      <alignment horizontal="right"/>
      <protection locked="0"/>
    </xf>
    <xf numFmtId="166" fontId="10" fillId="0" borderId="4" xfId="0" applyNumberFormat="1" applyFont="1" applyFill="1" applyBorder="1" applyAlignment="1" applyProtection="1">
      <alignment horizontal="right"/>
      <protection locked="0"/>
    </xf>
    <xf numFmtId="1" fontId="6" fillId="0" borderId="4" xfId="0" applyNumberFormat="1" applyFont="1" applyFill="1" applyBorder="1" applyAlignment="1" applyProtection="1">
      <alignment horizontal="right"/>
      <protection locked="0"/>
    </xf>
    <xf numFmtId="0" fontId="12" fillId="0" borderId="4" xfId="0" applyFont="1" applyBorder="1" applyAlignment="1">
      <alignment horizontal="right"/>
    </xf>
    <xf numFmtId="165" fontId="12" fillId="0" borderId="4" xfId="0" applyNumberFormat="1" applyFont="1" applyBorder="1" applyAlignment="1">
      <alignment horizontal="right"/>
    </xf>
    <xf numFmtId="164" fontId="11" fillId="0" borderId="4" xfId="0" applyNumberFormat="1" applyFont="1" applyBorder="1" applyAlignment="1">
      <alignment horizontal="right"/>
    </xf>
    <xf numFmtId="165" fontId="10" fillId="0" borderId="1" xfId="1" applyNumberFormat="1" applyFont="1" applyFill="1" applyBorder="1" applyProtection="1"/>
    <xf numFmtId="165" fontId="6" fillId="0" borderId="1" xfId="1" applyNumberFormat="1" applyFont="1" applyFill="1" applyBorder="1" applyProtection="1"/>
    <xf numFmtId="43" fontId="6" fillId="0" borderId="4" xfId="1" applyFont="1" applyFill="1" applyBorder="1" applyProtection="1">
      <protection locked="0"/>
    </xf>
    <xf numFmtId="0" fontId="19" fillId="9" borderId="0" xfId="0" applyFont="1" applyFill="1"/>
    <xf numFmtId="37" fontId="8" fillId="0" borderId="4" xfId="0" applyNumberFormat="1" applyFont="1" applyFill="1" applyBorder="1"/>
    <xf numFmtId="43" fontId="8" fillId="0" borderId="4" xfId="0" applyNumberFormat="1" applyFont="1" applyFill="1" applyBorder="1"/>
    <xf numFmtId="43" fontId="12" fillId="0" borderId="4" xfId="0" applyNumberFormat="1" applyFont="1" applyBorder="1" applyAlignment="1">
      <alignment horizontal="right"/>
    </xf>
    <xf numFmtId="39" fontId="10" fillId="0" borderId="4" xfId="1" applyNumberFormat="1" applyFont="1" applyBorder="1" applyProtection="1"/>
    <xf numFmtId="0" fontId="0" fillId="10" borderId="0" xfId="0" applyFill="1"/>
    <xf numFmtId="164" fontId="10" fillId="10" borderId="4" xfId="0" applyNumberFormat="1" applyFont="1" applyFill="1" applyBorder="1" applyProtection="1"/>
    <xf numFmtId="164" fontId="11" fillId="10" borderId="4" xfId="0" applyNumberFormat="1" applyFont="1" applyFill="1" applyBorder="1"/>
    <xf numFmtId="0" fontId="0" fillId="0" borderId="6" xfId="0" applyFill="1" applyBorder="1"/>
    <xf numFmtId="0" fontId="12" fillId="10" borderId="1" xfId="0" applyFont="1" applyFill="1" applyBorder="1" applyAlignment="1"/>
    <xf numFmtId="0" fontId="0" fillId="10" borderId="7" xfId="0" applyFill="1" applyBorder="1"/>
    <xf numFmtId="0" fontId="0" fillId="7" borderId="2" xfId="0" applyFill="1" applyBorder="1"/>
    <xf numFmtId="0" fontId="26" fillId="7" borderId="1" xfId="0" applyFont="1" applyFill="1" applyBorder="1" applyAlignment="1"/>
    <xf numFmtId="0" fontId="26" fillId="7" borderId="2" xfId="0" applyFont="1" applyFill="1" applyBorder="1" applyAlignment="1"/>
    <xf numFmtId="168" fontId="26" fillId="7" borderId="4" xfId="0" applyNumberFormat="1" applyFont="1" applyFill="1" applyBorder="1"/>
    <xf numFmtId="0" fontId="0" fillId="0" borderId="4" xfId="0" applyFill="1" applyBorder="1"/>
    <xf numFmtId="0" fontId="11" fillId="10" borderId="1" xfId="0" applyFont="1" applyFill="1" applyBorder="1"/>
    <xf numFmtId="0" fontId="11" fillId="10" borderId="3" xfId="0" applyFont="1" applyFill="1" applyBorder="1"/>
    <xf numFmtId="0" fontId="11" fillId="10" borderId="4" xfId="0" applyFont="1" applyFill="1" applyBorder="1"/>
    <xf numFmtId="0" fontId="11" fillId="10" borderId="2" xfId="0" applyFont="1" applyFill="1" applyBorder="1"/>
    <xf numFmtId="39" fontId="6" fillId="0" borderId="4" xfId="1" applyNumberFormat="1" applyFont="1" applyFill="1" applyBorder="1" applyProtection="1"/>
    <xf numFmtId="0" fontId="0" fillId="10" borderId="5" xfId="0" applyFont="1" applyFill="1" applyBorder="1"/>
    <xf numFmtId="0" fontId="26" fillId="7" borderId="1" xfId="0" applyFont="1" applyFill="1" applyBorder="1" applyAlignment="1">
      <alignment horizontal="center"/>
    </xf>
    <xf numFmtId="0" fontId="26" fillId="7" borderId="4" xfId="0" applyFont="1" applyFill="1" applyBorder="1" applyAlignment="1"/>
    <xf numFmtId="0" fontId="0" fillId="7" borderId="1" xfId="0" applyFill="1" applyBorder="1" applyAlignment="1"/>
    <xf numFmtId="0" fontId="0" fillId="7" borderId="4" xfId="0" applyFill="1" applyBorder="1" applyAlignment="1"/>
    <xf numFmtId="0" fontId="13" fillId="7" borderId="1" xfId="0" applyFont="1" applyFill="1" applyBorder="1" applyAlignment="1">
      <alignment horizontal="center"/>
    </xf>
    <xf numFmtId="0" fontId="15" fillId="10" borderId="4" xfId="0" applyFont="1" applyFill="1" applyBorder="1"/>
    <xf numFmtId="164" fontId="9" fillId="10" borderId="4" xfId="0" applyNumberFormat="1" applyFont="1" applyFill="1" applyBorder="1" applyProtection="1">
      <protection locked="0"/>
    </xf>
    <xf numFmtId="0" fontId="12" fillId="10" borderId="4" xfId="0" applyFont="1" applyFill="1" applyBorder="1"/>
    <xf numFmtId="164" fontId="10" fillId="10" borderId="1" xfId="0" applyNumberFormat="1" applyFont="1" applyFill="1" applyBorder="1" applyProtection="1">
      <protection locked="0"/>
    </xf>
    <xf numFmtId="0" fontId="0" fillId="10" borderId="4" xfId="0" applyFont="1" applyFill="1" applyBorder="1"/>
    <xf numFmtId="0" fontId="26" fillId="10" borderId="4" xfId="0" applyFont="1" applyFill="1" applyBorder="1" applyAlignment="1"/>
    <xf numFmtId="0" fontId="15" fillId="10" borderId="3" xfId="0" applyFont="1" applyFill="1" applyBorder="1" applyAlignment="1"/>
    <xf numFmtId="0" fontId="15" fillId="10" borderId="4" xfId="0" applyFont="1" applyFill="1" applyBorder="1" applyAlignment="1"/>
    <xf numFmtId="164" fontId="26" fillId="10" borderId="4" xfId="0" applyNumberFormat="1" applyFont="1" applyFill="1" applyBorder="1" applyAlignment="1"/>
    <xf numFmtId="0" fontId="26" fillId="10" borderId="2" xfId="0" applyFont="1" applyFill="1" applyBorder="1" applyAlignment="1"/>
    <xf numFmtId="168" fontId="26" fillId="10" borderId="4" xfId="0" applyNumberFormat="1" applyFont="1" applyFill="1" applyBorder="1"/>
    <xf numFmtId="0" fontId="12" fillId="10" borderId="4" xfId="0" applyFont="1" applyFill="1" applyBorder="1" applyAlignment="1"/>
    <xf numFmtId="0" fontId="12" fillId="10" borderId="3" xfId="0" applyFont="1" applyFill="1" applyBorder="1" applyAlignment="1"/>
    <xf numFmtId="0" fontId="3" fillId="10" borderId="4" xfId="0" applyFont="1" applyFill="1" applyBorder="1"/>
    <xf numFmtId="0" fontId="7" fillId="10" borderId="4" xfId="0" applyFont="1" applyFill="1" applyBorder="1"/>
    <xf numFmtId="164" fontId="6" fillId="10" borderId="4" xfId="0" applyNumberFormat="1" applyFont="1" applyFill="1" applyBorder="1" applyProtection="1">
      <protection locked="0"/>
    </xf>
    <xf numFmtId="164" fontId="7" fillId="10" borderId="4" xfId="0" applyNumberFormat="1" applyFont="1" applyFill="1" applyBorder="1"/>
    <xf numFmtId="0" fontId="14" fillId="10" borderId="4" xfId="0" applyFont="1" applyFill="1" applyBorder="1"/>
    <xf numFmtId="164" fontId="6" fillId="10" borderId="1" xfId="0" applyNumberFormat="1" applyFont="1" applyFill="1" applyBorder="1" applyProtection="1">
      <protection locked="0"/>
    </xf>
    <xf numFmtId="164" fontId="12" fillId="0" borderId="4" xfId="0" applyNumberFormat="1" applyFont="1" applyBorder="1"/>
    <xf numFmtId="164" fontId="26" fillId="10" borderId="4" xfId="0" applyNumberFormat="1" applyFont="1" applyFill="1" applyBorder="1"/>
    <xf numFmtId="1" fontId="6" fillId="0" borderId="4" xfId="0" applyNumberFormat="1" applyFont="1" applyFill="1" applyBorder="1" applyAlignment="1" applyProtection="1">
      <alignment vertical="top"/>
      <protection locked="0"/>
    </xf>
    <xf numFmtId="1" fontId="6" fillId="10" borderId="4" xfId="0" applyNumberFormat="1" applyFont="1" applyFill="1" applyBorder="1" applyAlignment="1" applyProtection="1">
      <alignment vertical="top"/>
      <protection locked="0"/>
    </xf>
    <xf numFmtId="0" fontId="6" fillId="0" borderId="4" xfId="0" applyFont="1" applyFill="1" applyBorder="1" applyAlignment="1" applyProtection="1">
      <alignment vertical="top"/>
      <protection locked="0"/>
    </xf>
    <xf numFmtId="166" fontId="6" fillId="0" borderId="4" xfId="0" applyNumberFormat="1" applyFont="1" applyFill="1" applyBorder="1" applyAlignment="1" applyProtection="1">
      <alignment vertical="top"/>
      <protection locked="0"/>
    </xf>
    <xf numFmtId="0" fontId="8" fillId="0" borderId="4" xfId="0" applyFont="1" applyFill="1" applyBorder="1" applyAlignment="1">
      <alignment vertical="top"/>
    </xf>
    <xf numFmtId="0" fontId="8" fillId="10" borderId="4" xfId="0" applyFont="1" applyFill="1" applyBorder="1" applyAlignment="1">
      <alignment vertical="top"/>
    </xf>
    <xf numFmtId="43" fontId="8" fillId="0" borderId="4" xfId="0" applyNumberFormat="1" applyFont="1" applyFill="1" applyBorder="1" applyAlignment="1">
      <alignment vertical="top"/>
    </xf>
    <xf numFmtId="164" fontId="8" fillId="0" borderId="4" xfId="0" applyNumberFormat="1" applyFont="1" applyFill="1" applyBorder="1" applyAlignment="1">
      <alignment vertical="top"/>
    </xf>
    <xf numFmtId="0" fontId="8" fillId="0" borderId="4" xfId="0" applyNumberFormat="1" applyFont="1" applyFill="1" applyBorder="1" applyAlignment="1">
      <alignment vertical="top"/>
    </xf>
    <xf numFmtId="0" fontId="26" fillId="10" borderId="4" xfId="0" applyFont="1" applyFill="1" applyBorder="1"/>
    <xf numFmtId="0" fontId="8" fillId="0" borderId="4" xfId="0" applyNumberFormat="1" applyFont="1" applyFill="1" applyBorder="1"/>
    <xf numFmtId="164" fontId="27" fillId="10" borderId="4" xfId="0" applyNumberFormat="1" applyFont="1" applyFill="1" applyBorder="1" applyProtection="1">
      <protection locked="0"/>
    </xf>
    <xf numFmtId="1" fontId="27" fillId="10" borderId="4" xfId="0" applyNumberFormat="1" applyFont="1" applyFill="1" applyBorder="1" applyProtection="1">
      <protection locked="0"/>
    </xf>
    <xf numFmtId="164" fontId="28" fillId="10" borderId="4" xfId="0" applyNumberFormat="1" applyFont="1" applyFill="1" applyBorder="1"/>
    <xf numFmtId="0" fontId="7" fillId="0" borderId="1" xfId="0" applyFont="1" applyFill="1" applyBorder="1"/>
    <xf numFmtId="0" fontId="8" fillId="0" borderId="1" xfId="0" applyFont="1" applyFill="1" applyBorder="1"/>
    <xf numFmtId="0" fontId="13" fillId="7" borderId="4" xfId="0" applyFont="1" applyFill="1" applyBorder="1" applyAlignment="1">
      <alignment horizontal="center"/>
    </xf>
    <xf numFmtId="8" fontId="8" fillId="0" borderId="4" xfId="0" applyNumberFormat="1" applyFont="1" applyFill="1" applyBorder="1"/>
    <xf numFmtId="164" fontId="8" fillId="0" borderId="1" xfId="0" applyNumberFormat="1" applyFont="1" applyFill="1" applyBorder="1"/>
    <xf numFmtId="0" fontId="16" fillId="10" borderId="4" xfId="0" applyFont="1" applyFill="1" applyBorder="1"/>
    <xf numFmtId="164" fontId="8" fillId="10" borderId="4" xfId="0" applyNumberFormat="1" applyFont="1" applyFill="1" applyBorder="1"/>
    <xf numFmtId="168" fontId="26" fillId="10" borderId="3" xfId="0" applyNumberFormat="1" applyFont="1" applyFill="1" applyBorder="1"/>
    <xf numFmtId="4" fontId="8" fillId="0" borderId="4" xfId="0" applyNumberFormat="1" applyFont="1" applyFill="1" applyBorder="1"/>
    <xf numFmtId="8" fontId="8" fillId="0" borderId="1" xfId="0" applyNumberFormat="1" applyFont="1" applyFill="1" applyBorder="1"/>
    <xf numFmtId="168" fontId="8" fillId="0" borderId="4" xfId="0" applyNumberFormat="1" applyFont="1" applyFill="1" applyBorder="1"/>
    <xf numFmtId="0" fontId="15" fillId="10" borderId="3" xfId="0" applyFont="1" applyFill="1" applyBorder="1"/>
    <xf numFmtId="0" fontId="15" fillId="10" borderId="1" xfId="0" applyFont="1" applyFill="1" applyBorder="1"/>
    <xf numFmtId="164" fontId="26" fillId="10" borderId="2" xfId="0" applyNumberFormat="1" applyFont="1" applyFill="1" applyBorder="1"/>
    <xf numFmtId="0" fontId="12" fillId="0" borderId="1" xfId="0" applyFont="1" applyFill="1" applyBorder="1" applyAlignment="1"/>
    <xf numFmtId="0" fontId="0" fillId="0" borderId="2" xfId="0" applyFill="1" applyBorder="1" applyAlignment="1"/>
    <xf numFmtId="168" fontId="12" fillId="0" borderId="3" xfId="0" applyNumberFormat="1" applyFont="1" applyFill="1" applyBorder="1"/>
    <xf numFmtId="0" fontId="29" fillId="3" borderId="1" xfId="0" applyFont="1" applyFill="1" applyBorder="1" applyAlignment="1"/>
    <xf numFmtId="0" fontId="29" fillId="3" borderId="2" xfId="0" applyFont="1" applyFill="1" applyBorder="1" applyAlignment="1"/>
    <xf numFmtId="0" fontId="30" fillId="3" borderId="0" xfId="0" applyFont="1" applyFill="1" applyBorder="1"/>
    <xf numFmtId="168" fontId="29" fillId="3" borderId="4" xfId="0" applyNumberFormat="1" applyFont="1" applyFill="1" applyBorder="1"/>
    <xf numFmtId="0" fontId="30" fillId="9" borderId="0" xfId="0" applyFont="1" applyFill="1"/>
    <xf numFmtId="0" fontId="31" fillId="7" borderId="4" xfId="0" applyFont="1" applyFill="1" applyBorder="1" applyAlignment="1">
      <alignment horizontal="center"/>
    </xf>
    <xf numFmtId="0" fontId="30" fillId="7" borderId="4" xfId="0" applyFont="1" applyFill="1" applyBorder="1" applyAlignment="1"/>
    <xf numFmtId="168" fontId="29" fillId="7" borderId="4" xfId="0" applyNumberFormat="1" applyFont="1" applyFill="1" applyBorder="1"/>
    <xf numFmtId="164" fontId="29" fillId="7" borderId="4" xfId="0" applyNumberFormat="1" applyFont="1" applyFill="1" applyBorder="1"/>
    <xf numFmtId="8" fontId="8" fillId="0" borderId="4" xfId="0" applyNumberFormat="1" applyFont="1" applyFill="1" applyBorder="1" applyAlignment="1"/>
    <xf numFmtId="168" fontId="29" fillId="0" borderId="0" xfId="0" applyNumberFormat="1" applyFont="1" applyFill="1" applyBorder="1"/>
    <xf numFmtId="0" fontId="29" fillId="10" borderId="0" xfId="0" applyFont="1" applyFill="1" applyBorder="1" applyAlignment="1"/>
    <xf numFmtId="0" fontId="30" fillId="10" borderId="0" xfId="0" applyFont="1" applyFill="1" applyBorder="1" applyAlignment="1"/>
    <xf numFmtId="164" fontId="29" fillId="10" borderId="0" xfId="0" applyNumberFormat="1" applyFont="1" applyFill="1" applyBorder="1"/>
    <xf numFmtId="0" fontId="13" fillId="7" borderId="0" xfId="0" applyFont="1" applyFill="1"/>
    <xf numFmtId="0" fontId="0" fillId="7" borderId="0" xfId="0" applyFont="1" applyFill="1"/>
    <xf numFmtId="0" fontId="0" fillId="10" borderId="0" xfId="0" applyFont="1" applyFill="1"/>
    <xf numFmtId="0" fontId="0" fillId="10" borderId="8" xfId="0" applyFont="1" applyFill="1" applyBorder="1"/>
    <xf numFmtId="167" fontId="13" fillId="10" borderId="9" xfId="0" applyNumberFormat="1" applyFont="1" applyFill="1" applyBorder="1" applyAlignment="1">
      <alignment horizontal="center"/>
    </xf>
    <xf numFmtId="164" fontId="13" fillId="10" borderId="6" xfId="0" applyNumberFormat="1" applyFont="1" applyFill="1" applyBorder="1"/>
    <xf numFmtId="6" fontId="0" fillId="10" borderId="8" xfId="0" applyNumberFormat="1" applyFont="1" applyFill="1" applyBorder="1"/>
    <xf numFmtId="6" fontId="0" fillId="10" borderId="9" xfId="0" applyNumberFormat="1" applyFont="1" applyFill="1" applyBorder="1"/>
    <xf numFmtId="6" fontId="0" fillId="10" borderId="11" xfId="0" applyNumberFormat="1" applyFont="1" applyFill="1" applyBorder="1"/>
    <xf numFmtId="6" fontId="0" fillId="10" borderId="0" xfId="0" applyNumberFormat="1" applyFont="1" applyFill="1"/>
    <xf numFmtId="0" fontId="0" fillId="9" borderId="0" xfId="0" applyFont="1" applyFill="1"/>
    <xf numFmtId="0" fontId="13" fillId="10" borderId="0" xfId="0" applyFont="1" applyFill="1" applyAlignment="1">
      <alignment horizontal="center"/>
    </xf>
    <xf numFmtId="7" fontId="13" fillId="10" borderId="0" xfId="0" applyNumberFormat="1" applyFont="1" applyFill="1"/>
    <xf numFmtId="0" fontId="13" fillId="10" borderId="0" xfId="0" applyFont="1" applyFill="1" applyAlignment="1"/>
    <xf numFmtId="167" fontId="13" fillId="10" borderId="2" xfId="0" applyNumberFormat="1" applyFont="1" applyFill="1" applyBorder="1"/>
    <xf numFmtId="0" fontId="13" fillId="10" borderId="6" xfId="0" applyFont="1" applyFill="1" applyBorder="1"/>
    <xf numFmtId="164" fontId="13" fillId="10" borderId="11" xfId="0" applyNumberFormat="1" applyFont="1" applyFill="1" applyBorder="1"/>
    <xf numFmtId="7" fontId="13" fillId="10" borderId="0" xfId="0" applyNumberFormat="1" applyFont="1" applyFill="1" applyAlignment="1">
      <alignment horizontal="center"/>
    </xf>
    <xf numFmtId="167" fontId="13" fillId="10" borderId="9" xfId="0" applyNumberFormat="1" applyFont="1" applyFill="1" applyBorder="1"/>
    <xf numFmtId="0" fontId="13" fillId="10" borderId="11" xfId="0" applyFont="1" applyFill="1" applyBorder="1"/>
    <xf numFmtId="1" fontId="13" fillId="10" borderId="9" xfId="0" applyNumberFormat="1" applyFont="1" applyFill="1" applyBorder="1" applyAlignment="1">
      <alignment horizontal="center"/>
    </xf>
    <xf numFmtId="0" fontId="0" fillId="9" borderId="0" xfId="0" applyFill="1"/>
    <xf numFmtId="2" fontId="10" fillId="0" borderId="4" xfId="0" applyNumberFormat="1" applyFont="1" applyFill="1" applyBorder="1" applyAlignment="1" applyProtection="1">
      <alignment horizontal="right"/>
      <protection locked="0"/>
    </xf>
    <xf numFmtId="164" fontId="11" fillId="0" borderId="4" xfId="0" applyNumberFormat="1" applyFont="1" applyBorder="1"/>
    <xf numFmtId="0" fontId="0" fillId="9" borderId="0" xfId="0" applyFill="1"/>
    <xf numFmtId="3" fontId="12" fillId="0" borderId="4" xfId="0" applyNumberFormat="1" applyFont="1" applyBorder="1"/>
    <xf numFmtId="0" fontId="11" fillId="0" borderId="4" xfId="0" applyFont="1" applyFill="1" applyBorder="1" applyAlignment="1"/>
    <xf numFmtId="164" fontId="10" fillId="0" borderId="4" xfId="0" applyNumberFormat="1" applyFont="1" applyFill="1" applyBorder="1" applyAlignment="1" applyProtection="1">
      <protection locked="0"/>
    </xf>
    <xf numFmtId="164" fontId="11" fillId="0" borderId="4" xfId="0" applyNumberFormat="1" applyFont="1" applyBorder="1" applyAlignment="1"/>
    <xf numFmtId="0" fontId="13" fillId="9" borderId="0" xfId="0" applyFont="1" applyFill="1" applyBorder="1" applyAlignment="1">
      <alignment horizontal="center" vertical="center" textRotation="90"/>
    </xf>
    <xf numFmtId="0" fontId="0" fillId="9" borderId="0" xfId="0" applyFill="1" applyBorder="1"/>
    <xf numFmtId="3" fontId="8" fillId="0" borderId="4" xfId="0" applyNumberFormat="1" applyFont="1" applyFill="1" applyBorder="1"/>
    <xf numFmtId="165" fontId="0" fillId="9" borderId="0" xfId="1" applyNumberFormat="1" applyFont="1" applyFill="1"/>
    <xf numFmtId="167" fontId="10" fillId="0" borderId="1" xfId="1" applyNumberFormat="1" applyFont="1" applyBorder="1" applyProtection="1"/>
    <xf numFmtId="7" fontId="10" fillId="0" borderId="1" xfId="1" applyNumberFormat="1" applyFont="1" applyBorder="1" applyProtection="1"/>
    <xf numFmtId="39" fontId="10" fillId="0" borderId="1" xfId="1" applyNumberFormat="1" applyFont="1" applyBorder="1" applyProtection="1"/>
    <xf numFmtId="164" fontId="10" fillId="10" borderId="5" xfId="0" applyNumberFormat="1" applyFont="1" applyFill="1" applyBorder="1" applyProtection="1"/>
    <xf numFmtId="164" fontId="11" fillId="10" borderId="5" xfId="0" applyNumberFormat="1" applyFont="1" applyFill="1" applyBorder="1"/>
    <xf numFmtId="164" fontId="6" fillId="0" borderId="5" xfId="0" applyNumberFormat="1" applyFont="1" applyFill="1" applyBorder="1" applyProtection="1"/>
    <xf numFmtId="164" fontId="7" fillId="0" borderId="5" xfId="0" applyNumberFormat="1" applyFont="1" applyFill="1" applyBorder="1"/>
    <xf numFmtId="0" fontId="0" fillId="8" borderId="0" xfId="0" applyFill="1"/>
    <xf numFmtId="0" fontId="0" fillId="8" borderId="0" xfId="0" applyFill="1" applyAlignment="1"/>
    <xf numFmtId="0" fontId="0" fillId="0" borderId="4" xfId="0" applyBorder="1" applyAlignment="1">
      <alignment horizontal="right"/>
    </xf>
    <xf numFmtId="1" fontId="0" fillId="10" borderId="4" xfId="0" applyNumberFormat="1" applyFill="1" applyBorder="1"/>
    <xf numFmtId="1" fontId="0" fillId="10" borderId="0" xfId="0" applyNumberFormat="1" applyFill="1" applyAlignment="1">
      <alignment horizontal="right"/>
    </xf>
    <xf numFmtId="0" fontId="0" fillId="0" borderId="0" xfId="0" applyAlignment="1">
      <alignment horizontal="center"/>
    </xf>
    <xf numFmtId="0" fontId="0" fillId="0" borderId="0" xfId="0" applyAlignment="1"/>
    <xf numFmtId="0" fontId="29" fillId="7" borderId="1" xfId="0" applyFont="1" applyFill="1" applyBorder="1" applyAlignment="1"/>
    <xf numFmtId="0" fontId="30" fillId="7" borderId="2" xfId="0" applyFont="1" applyFill="1" applyBorder="1" applyAlignment="1"/>
    <xf numFmtId="0" fontId="30" fillId="7" borderId="3" xfId="0" applyFont="1" applyFill="1" applyBorder="1" applyAlignment="1"/>
    <xf numFmtId="0" fontId="29" fillId="0" borderId="0" xfId="0" applyFont="1" applyFill="1" applyBorder="1" applyAlignment="1"/>
    <xf numFmtId="0" fontId="30" fillId="0" borderId="0" xfId="0" applyFont="1" applyFill="1" applyBorder="1" applyAlignment="1"/>
    <xf numFmtId="0" fontId="11" fillId="5" borderId="1" xfId="0" applyFont="1" applyFill="1" applyBorder="1" applyAlignment="1"/>
    <xf numFmtId="0" fontId="11" fillId="5" borderId="2" xfId="0" applyFont="1" applyFill="1" applyBorder="1" applyAlignment="1"/>
    <xf numFmtId="0" fontId="11" fillId="5" borderId="3" xfId="0" applyFont="1" applyFill="1" applyBorder="1" applyAlignment="1"/>
    <xf numFmtId="0" fontId="12" fillId="7" borderId="1" xfId="0" applyFont="1" applyFill="1" applyBorder="1" applyAlignment="1"/>
    <xf numFmtId="0" fontId="0" fillId="7" borderId="2" xfId="0" applyFill="1" applyBorder="1" applyAlignment="1"/>
    <xf numFmtId="0" fontId="0" fillId="7" borderId="3" xfId="0" applyFill="1" applyBorder="1" applyAlignment="1"/>
    <xf numFmtId="0" fontId="12" fillId="10" borderId="2" xfId="0" applyFont="1" applyFill="1" applyBorder="1" applyAlignment="1"/>
    <xf numFmtId="0" fontId="0" fillId="0" borderId="3" xfId="0" applyBorder="1" applyAlignment="1"/>
    <xf numFmtId="0" fontId="0" fillId="0" borderId="2" xfId="0" applyBorder="1" applyAlignment="1"/>
    <xf numFmtId="0" fontId="0" fillId="8" borderId="0" xfId="0" applyFill="1" applyBorder="1" applyAlignment="1"/>
    <xf numFmtId="0" fontId="0" fillId="8" borderId="11" xfId="0" applyFill="1" applyBorder="1" applyAlignment="1"/>
    <xf numFmtId="0" fontId="7" fillId="0" borderId="1" xfId="0" applyFont="1" applyFill="1" applyBorder="1" applyAlignment="1"/>
    <xf numFmtId="0" fontId="8" fillId="7" borderId="1" xfId="0" applyFont="1" applyFill="1" applyBorder="1" applyAlignment="1"/>
    <xf numFmtId="0" fontId="17" fillId="5" borderId="0" xfId="0" applyFont="1" applyFill="1" applyBorder="1" applyAlignment="1">
      <alignment horizontal="center" vertical="center" wrapText="1"/>
    </xf>
    <xf numFmtId="0" fontId="18" fillId="5" borderId="0" xfId="0" applyFont="1" applyFill="1" applyAlignment="1">
      <alignment wrapText="1"/>
    </xf>
    <xf numFmtId="0" fontId="0" fillId="0" borderId="0" xfId="0" applyAlignment="1">
      <alignment horizontal="center"/>
    </xf>
    <xf numFmtId="0" fontId="19" fillId="5" borderId="0" xfId="0" applyFont="1" applyFill="1" applyAlignment="1">
      <alignment horizontal="center"/>
    </xf>
    <xf numFmtId="0" fontId="19" fillId="0" borderId="0" xfId="0" applyFont="1" applyAlignment="1">
      <alignment horizontal="center"/>
    </xf>
    <xf numFmtId="0" fontId="13" fillId="10" borderId="0" xfId="0" applyFont="1" applyFill="1" applyAlignment="1">
      <alignment horizontal="center" vertical="center"/>
    </xf>
    <xf numFmtId="0" fontId="0" fillId="0" borderId="0" xfId="0" applyFont="1" applyAlignment="1">
      <alignment horizontal="center" vertical="center"/>
    </xf>
    <xf numFmtId="0" fontId="0" fillId="0" borderId="0" xfId="0" applyAlignment="1"/>
    <xf numFmtId="0" fontId="0" fillId="0" borderId="7" xfId="0" applyFont="1" applyBorder="1" applyAlignment="1">
      <alignment horizontal="center" vertical="center"/>
    </xf>
    <xf numFmtId="0" fontId="0" fillId="0" borderId="7" xfId="0" applyBorder="1" applyAlignment="1"/>
    <xf numFmtId="0" fontId="0" fillId="7" borderId="0" xfId="0" applyFont="1" applyFill="1" applyAlignment="1">
      <alignment horizontal="center"/>
    </xf>
    <xf numFmtId="0" fontId="13" fillId="10" borderId="12" xfId="0" applyFont="1" applyFill="1" applyBorder="1" applyAlignment="1">
      <alignment horizontal="center" vertical="center" textRotation="90"/>
    </xf>
    <xf numFmtId="0" fontId="0" fillId="9" borderId="0" xfId="0" applyFill="1" applyAlignment="1"/>
    <xf numFmtId="0" fontId="29" fillId="7" borderId="1" xfId="0" applyFont="1" applyFill="1" applyBorder="1" applyAlignment="1"/>
    <xf numFmtId="0" fontId="30" fillId="7" borderId="2" xfId="0" applyFont="1" applyFill="1" applyBorder="1" applyAlignment="1"/>
    <xf numFmtId="0" fontId="30" fillId="7" borderId="3" xfId="0" applyFont="1" applyFill="1" applyBorder="1" applyAlignment="1"/>
    <xf numFmtId="0" fontId="29" fillId="0" borderId="0" xfId="0" applyFont="1" applyFill="1" applyBorder="1" applyAlignment="1"/>
    <xf numFmtId="0" fontId="30" fillId="0" borderId="0" xfId="0" applyFont="1" applyFill="1" applyBorder="1" applyAlignment="1"/>
    <xf numFmtId="0" fontId="2" fillId="5" borderId="1"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9" fillId="5" borderId="1" xfId="0" applyFont="1" applyFill="1" applyBorder="1" applyAlignment="1"/>
    <xf numFmtId="0" fontId="9" fillId="5" borderId="2" xfId="0" applyFont="1" applyFill="1" applyBorder="1" applyAlignment="1"/>
    <xf numFmtId="0" fontId="9" fillId="5" borderId="3" xfId="0" applyFont="1" applyFill="1" applyBorder="1" applyAlignment="1"/>
    <xf numFmtId="0" fontId="29" fillId="0" borderId="9" xfId="0" applyFont="1" applyFill="1" applyBorder="1" applyAlignment="1"/>
    <xf numFmtId="0" fontId="0" fillId="0" borderId="9" xfId="0" applyBorder="1" applyAlignment="1"/>
    <xf numFmtId="0" fontId="0" fillId="5" borderId="2" xfId="0" applyFill="1" applyBorder="1" applyAlignment="1"/>
    <xf numFmtId="0" fontId="0" fillId="5" borderId="3" xfId="0" applyFill="1" applyBorder="1" applyAlignment="1"/>
    <xf numFmtId="0" fontId="11" fillId="5" borderId="1" xfId="0" applyFont="1" applyFill="1" applyBorder="1" applyAlignment="1"/>
    <xf numFmtId="0" fontId="11" fillId="5" borderId="2" xfId="0" applyFont="1" applyFill="1" applyBorder="1" applyAlignment="1"/>
    <xf numFmtId="0" fontId="11" fillId="5" borderId="3" xfId="0" applyFont="1" applyFill="1" applyBorder="1" applyAlignment="1"/>
    <xf numFmtId="0" fontId="13" fillId="10" borderId="0" xfId="0" applyFont="1" applyFill="1" applyBorder="1" applyAlignment="1">
      <alignment horizontal="center" vertical="center" textRotation="90"/>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4" fillId="4" borderId="1" xfId="0" applyFont="1" applyFill="1" applyBorder="1" applyAlignment="1"/>
    <xf numFmtId="0" fontId="4" fillId="4" borderId="2" xfId="0" applyFont="1" applyFill="1" applyBorder="1" applyAlignment="1"/>
    <xf numFmtId="0" fontId="4" fillId="4" borderId="3" xfId="0" applyFont="1" applyFill="1" applyBorder="1" applyAlignment="1"/>
    <xf numFmtId="0" fontId="7" fillId="4" borderId="1" xfId="0" applyFont="1" applyFill="1" applyBorder="1" applyAlignment="1"/>
    <xf numFmtId="0" fontId="7" fillId="4" borderId="2" xfId="0" applyFont="1" applyFill="1" applyBorder="1" applyAlignment="1"/>
    <xf numFmtId="0" fontId="7" fillId="4" borderId="3" xfId="0" applyFont="1" applyFill="1" applyBorder="1" applyAlignment="1"/>
    <xf numFmtId="0" fontId="29" fillId="7" borderId="2" xfId="0" applyFont="1" applyFill="1" applyBorder="1" applyAlignment="1"/>
    <xf numFmtId="0" fontId="29" fillId="7" borderId="3" xfId="0" applyFont="1" applyFill="1" applyBorder="1" applyAlignment="1"/>
    <xf numFmtId="0" fontId="2" fillId="3" borderId="1" xfId="0" applyFont="1"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4" fillId="3" borderId="1" xfId="0" applyFont="1" applyFill="1" applyBorder="1" applyAlignment="1"/>
    <xf numFmtId="0" fontId="4" fillId="3" borderId="2" xfId="0" applyFont="1" applyFill="1" applyBorder="1" applyAlignment="1"/>
    <xf numFmtId="0" fontId="4" fillId="3" borderId="3" xfId="0" applyFont="1" applyFill="1" applyBorder="1" applyAlignment="1"/>
    <xf numFmtId="0" fontId="7" fillId="3" borderId="1" xfId="0" applyFont="1" applyFill="1" applyBorder="1" applyAlignment="1"/>
    <xf numFmtId="0" fontId="7" fillId="3" borderId="2" xfId="0" applyFont="1" applyFill="1" applyBorder="1" applyAlignment="1"/>
    <xf numFmtId="0" fontId="7" fillId="3" borderId="3" xfId="0" applyFont="1" applyFill="1" applyBorder="1" applyAlignment="1"/>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9" fillId="7" borderId="1" xfId="0" applyFont="1" applyFill="1" applyBorder="1" applyAlignment="1"/>
    <xf numFmtId="0" fontId="9" fillId="7" borderId="9" xfId="0" applyFont="1" applyFill="1" applyBorder="1" applyAlignment="1"/>
    <xf numFmtId="0" fontId="9" fillId="7" borderId="10" xfId="0" applyFont="1" applyFill="1" applyBorder="1" applyAlignment="1"/>
    <xf numFmtId="0" fontId="0" fillId="0" borderId="12" xfId="0" applyBorder="1" applyAlignment="1">
      <alignment horizontal="center" vertical="center"/>
    </xf>
    <xf numFmtId="0" fontId="0" fillId="0" borderId="1" xfId="0" applyBorder="1" applyAlignment="1"/>
    <xf numFmtId="0" fontId="0" fillId="0" borderId="2" xfId="0" applyBorder="1" applyAlignment="1"/>
    <xf numFmtId="0" fontId="0" fillId="0" borderId="3" xfId="0" applyBorder="1" applyAlignment="1"/>
    <xf numFmtId="0" fontId="0" fillId="8" borderId="0" xfId="0" applyFill="1" applyBorder="1" applyAlignment="1"/>
    <xf numFmtId="0" fontId="0" fillId="0" borderId="0" xfId="0" applyBorder="1" applyAlignment="1"/>
    <xf numFmtId="0" fontId="0" fillId="8" borderId="11" xfId="0" applyFill="1" applyBorder="1" applyAlignment="1"/>
    <xf numFmtId="0" fontId="0" fillId="8" borderId="13" xfId="0" applyFill="1" applyBorder="1" applyAlignment="1"/>
    <xf numFmtId="0" fontId="0" fillId="8" borderId="7" xfId="0" applyFill="1" applyBorder="1" applyAlignment="1"/>
    <xf numFmtId="0" fontId="0" fillId="0" borderId="11" xfId="0" applyBorder="1" applyAlignment="1"/>
    <xf numFmtId="0" fontId="12" fillId="7" borderId="1" xfId="0" applyFont="1" applyFill="1" applyBorder="1" applyAlignment="1"/>
    <xf numFmtId="0" fontId="0" fillId="7" borderId="2" xfId="0" applyFill="1" applyBorder="1" applyAlignment="1"/>
    <xf numFmtId="0" fontId="0" fillId="7" borderId="3" xfId="0" applyFill="1" applyBorder="1" applyAlignment="1"/>
    <xf numFmtId="0" fontId="12" fillId="10" borderId="2" xfId="0" applyFont="1" applyFill="1" applyBorder="1" applyAlignment="1"/>
    <xf numFmtId="0" fontId="11" fillId="7" borderId="1" xfId="0" applyFont="1" applyFill="1" applyBorder="1" applyAlignment="1"/>
    <xf numFmtId="0" fontId="11" fillId="7" borderId="2" xfId="0" applyFont="1" applyFill="1" applyBorder="1" applyAlignment="1"/>
    <xf numFmtId="0" fontId="11" fillId="7" borderId="3" xfId="0" applyFont="1" applyFill="1" applyBorder="1" applyAlignment="1"/>
    <xf numFmtId="0" fontId="8" fillId="10" borderId="1" xfId="0" applyFont="1" applyFill="1" applyBorder="1" applyAlignment="1"/>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0" borderId="1" xfId="0" applyFont="1" applyFill="1" applyBorder="1" applyAlignment="1"/>
    <xf numFmtId="0" fontId="7" fillId="0" borderId="1" xfId="0" applyFont="1" applyFill="1" applyBorder="1" applyAlignment="1"/>
    <xf numFmtId="0" fontId="8" fillId="7" borderId="1" xfId="0" applyFont="1" applyFill="1" applyBorder="1" applyAlignment="1"/>
    <xf numFmtId="0" fontId="3" fillId="6" borderId="8" xfId="0" applyFont="1" applyFill="1" applyBorder="1" applyAlignment="1"/>
    <xf numFmtId="0" fontId="3" fillId="6" borderId="0" xfId="0" applyFont="1" applyFill="1" applyBorder="1" applyAlignment="1"/>
    <xf numFmtId="0" fontId="3" fillId="6" borderId="11" xfId="0" applyFont="1" applyFill="1" applyBorder="1" applyAlignment="1"/>
    <xf numFmtId="0" fontId="0" fillId="0" borderId="13" xfId="0" applyBorder="1" applyAlignment="1"/>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CCFF66"/>
      <color rgb="FF99FF33"/>
      <color rgb="FF33CC33"/>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419100</xdr:colOff>
      <xdr:row>3</xdr:row>
      <xdr:rowOff>95250</xdr:rowOff>
    </xdr:from>
    <xdr:to>
      <xdr:col>7</xdr:col>
      <xdr:colOff>523875</xdr:colOff>
      <xdr:row>6</xdr:row>
      <xdr:rowOff>28575</xdr:rowOff>
    </xdr:to>
    <xdr:pic>
      <xdr:nvPicPr>
        <xdr:cNvPr id="2" name="Picture 1" descr="AgEcon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0" y="704850"/>
          <a:ext cx="2428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419100</xdr:colOff>
      <xdr:row>3</xdr:row>
      <xdr:rowOff>95250</xdr:rowOff>
    </xdr:from>
    <xdr:to>
      <xdr:col>7</xdr:col>
      <xdr:colOff>523875</xdr:colOff>
      <xdr:row>6</xdr:row>
      <xdr:rowOff>28575</xdr:rowOff>
    </xdr:to>
    <xdr:pic>
      <xdr:nvPicPr>
        <xdr:cNvPr id="3" name="Picture 1" descr="AgEcon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0" y="704850"/>
          <a:ext cx="2428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352425</xdr:colOff>
      <xdr:row>20</xdr:row>
      <xdr:rowOff>142875</xdr:rowOff>
    </xdr:from>
    <xdr:ext cx="9067801" cy="284795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52425" y="3981450"/>
          <a:ext cx="9067801" cy="2847959"/>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WARNING: These enterprise budgets have been developed for current market conditions utilizing</a:t>
          </a:r>
          <a:r>
            <a:rPr lang="en-US" sz="1100" b="1" baseline="0">
              <a:solidFill>
                <a:schemeClr val="tx1"/>
              </a:solidFill>
              <a:effectLst/>
              <a:latin typeface="+mn-lt"/>
              <a:ea typeface="+mn-ea"/>
              <a:cs typeface="+mn-cs"/>
            </a:rPr>
            <a:t> the best information that we have available.</a:t>
          </a:r>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reintroduction of industrial hemp production in United States has sparked significant interest. However, the infancy of the industry makes it difficult to secure well documented revenue and cost projections for the construction of enterprise budgets. </a:t>
          </a:r>
          <a:r>
            <a:rPr lang="en-US" sz="1100" b="1">
              <a:solidFill>
                <a:schemeClr val="tx1"/>
              </a:solidFill>
              <a:effectLst/>
              <a:latin typeface="+mn-lt"/>
              <a:ea typeface="+mn-ea"/>
              <a:cs typeface="+mn-cs"/>
            </a:rPr>
            <a:t>NOTE: Estimates used in these revenue and cost projections are based on limited market information on prices, yields and costs</a:t>
          </a:r>
          <a:r>
            <a:rPr lang="en-US" sz="1100">
              <a:solidFill>
                <a:schemeClr val="tx1"/>
              </a:solidFill>
              <a:effectLst/>
              <a:latin typeface="+mn-lt"/>
              <a:ea typeface="+mn-ea"/>
              <a:cs typeface="+mn-cs"/>
            </a:rPr>
            <a:t>.  These budgets only address potential gross revenue and cash operating expenses associated with hemp production.  These budgets contain estimated fixed</a:t>
          </a:r>
          <a:r>
            <a:rPr lang="en-US" sz="1100" baseline="0">
              <a:solidFill>
                <a:schemeClr val="tx1"/>
              </a:solidFill>
              <a:effectLst/>
              <a:latin typeface="+mn-lt"/>
              <a:ea typeface="+mn-ea"/>
              <a:cs typeface="+mn-cs"/>
            </a:rPr>
            <a:t> and economical costs.  These costs need to be adjusted based on the specifics of your operation and machinery used.</a:t>
          </a:r>
        </a:p>
        <a:p>
          <a:endParaRPr lang="en-US" sz="1100"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*Caution: Any crop that fails to meet the legal definition of hemp (i.e. 0.3% THC or less) has zero marketable value and the owner of the crop is responsible for all costs associated with destroying the crop*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Current observations of the industry reveals that production methods are highly varied but generally fit into one of six production methods represented in these budgets.  Yields are also highly variably between and within each production model. Unlike a traditional crop enterprise budgets, where using the default production costs estimates may be a reasonable approximation of a given producers actual costs, the lacking publically available empirical research centered around hemp production requires potential producers to adjust each line to fit the specifics of their operation. Cost and revenue estimates provided in these budgets should be critically evaluated and adjusted for each producer’s scenario.</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jdshepherd@uky.edu" TargetMode="External"/><Relationship Id="rId1" Type="http://schemas.openxmlformats.org/officeDocument/2006/relationships/hyperlink" Target="mailto:Tyler.Mark@uky.ed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activeCell="Q20" sqref="Q20"/>
    </sheetView>
  </sheetViews>
  <sheetFormatPr defaultColWidth="9.140625" defaultRowHeight="15" x14ac:dyDescent="0.25"/>
  <cols>
    <col min="1" max="1" width="25.140625" style="107" customWidth="1"/>
    <col min="2" max="3" width="9.140625" style="107"/>
    <col min="4" max="4" width="7.42578125" style="107" customWidth="1"/>
    <col min="5" max="9" width="9.140625" style="107"/>
    <col min="10" max="10" width="14.7109375" style="107" customWidth="1"/>
    <col min="11" max="16384" width="9.140625" style="107"/>
  </cols>
  <sheetData>
    <row r="1" spans="1:14" x14ac:dyDescent="0.25">
      <c r="A1"/>
      <c r="B1"/>
      <c r="C1"/>
      <c r="D1"/>
      <c r="E1"/>
      <c r="F1"/>
      <c r="G1"/>
      <c r="H1"/>
      <c r="I1"/>
      <c r="J1"/>
      <c r="K1"/>
      <c r="L1"/>
      <c r="M1"/>
      <c r="N1"/>
    </row>
    <row r="2" spans="1:14" ht="18" x14ac:dyDescent="0.25">
      <c r="A2"/>
      <c r="B2" s="278" t="s">
        <v>0</v>
      </c>
      <c r="C2" s="279"/>
      <c r="D2" s="279"/>
      <c r="E2" s="279"/>
      <c r="F2" s="279"/>
      <c r="G2" s="279"/>
      <c r="H2" s="279"/>
      <c r="I2" s="279"/>
      <c r="J2" s="279"/>
      <c r="K2" s="279"/>
      <c r="L2"/>
      <c r="M2"/>
      <c r="N2"/>
    </row>
    <row r="3" spans="1:14" x14ac:dyDescent="0.25">
      <c r="A3"/>
      <c r="B3"/>
      <c r="C3"/>
      <c r="D3"/>
      <c r="E3"/>
      <c r="F3"/>
      <c r="G3"/>
      <c r="H3"/>
      <c r="I3"/>
      <c r="J3"/>
      <c r="K3"/>
      <c r="L3"/>
      <c r="M3"/>
      <c r="N3"/>
    </row>
    <row r="4" spans="1:14" x14ac:dyDescent="0.25">
      <c r="A4"/>
      <c r="B4"/>
      <c r="C4"/>
      <c r="D4"/>
      <c r="E4"/>
      <c r="F4"/>
      <c r="G4"/>
      <c r="H4"/>
      <c r="I4"/>
      <c r="J4"/>
      <c r="K4"/>
      <c r="L4"/>
      <c r="M4"/>
      <c r="N4"/>
    </row>
    <row r="5" spans="1:14" x14ac:dyDescent="0.25">
      <c r="A5"/>
      <c r="B5"/>
      <c r="C5"/>
      <c r="D5"/>
      <c r="E5"/>
      <c r="F5"/>
      <c r="G5"/>
      <c r="H5"/>
      <c r="I5"/>
      <c r="J5"/>
      <c r="K5"/>
      <c r="L5"/>
      <c r="M5"/>
      <c r="N5"/>
    </row>
    <row r="6" spans="1:14" x14ac:dyDescent="0.25">
      <c r="A6"/>
      <c r="B6"/>
      <c r="C6"/>
      <c r="D6"/>
      <c r="E6"/>
      <c r="F6"/>
      <c r="G6"/>
      <c r="H6"/>
      <c r="I6"/>
      <c r="J6"/>
      <c r="K6"/>
      <c r="L6"/>
      <c r="M6"/>
      <c r="N6"/>
    </row>
    <row r="7" spans="1:14" x14ac:dyDescent="0.25">
      <c r="A7"/>
      <c r="B7"/>
      <c r="C7"/>
      <c r="D7"/>
      <c r="E7"/>
      <c r="F7"/>
      <c r="G7"/>
      <c r="H7"/>
      <c r="I7"/>
      <c r="J7"/>
      <c r="K7"/>
      <c r="L7"/>
      <c r="M7"/>
      <c r="N7"/>
    </row>
    <row r="8" spans="1:14" x14ac:dyDescent="0.25">
      <c r="A8"/>
      <c r="B8" s="280"/>
      <c r="C8" s="280"/>
      <c r="D8" s="280"/>
      <c r="E8" s="280"/>
      <c r="F8" s="280"/>
      <c r="G8" s="280"/>
      <c r="H8" s="280"/>
      <c r="I8" s="280"/>
      <c r="J8" s="280"/>
      <c r="K8" s="280"/>
      <c r="L8"/>
      <c r="M8"/>
      <c r="N8"/>
    </row>
    <row r="9" spans="1:14" x14ac:dyDescent="0.25">
      <c r="A9"/>
      <c r="B9"/>
      <c r="C9" s="82"/>
      <c r="D9" s="281" t="s">
        <v>1</v>
      </c>
      <c r="E9" s="281"/>
      <c r="F9" s="281"/>
      <c r="G9" s="281"/>
      <c r="H9" s="281"/>
      <c r="I9" s="281"/>
      <c r="J9" s="82"/>
      <c r="K9"/>
      <c r="L9"/>
      <c r="M9"/>
      <c r="N9"/>
    </row>
    <row r="10" spans="1:14" x14ac:dyDescent="0.25">
      <c r="A10"/>
      <c r="B10"/>
      <c r="C10" s="82"/>
      <c r="D10" s="82" t="s">
        <v>2</v>
      </c>
      <c r="E10" s="82"/>
      <c r="F10" s="82"/>
      <c r="G10" s="101"/>
      <c r="H10" s="82" t="s">
        <v>3</v>
      </c>
      <c r="I10" s="82"/>
      <c r="J10" s="82"/>
      <c r="K10"/>
      <c r="L10"/>
      <c r="M10"/>
      <c r="N10"/>
    </row>
    <row r="11" spans="1:14" x14ac:dyDescent="0.25">
      <c r="A11"/>
      <c r="B11"/>
      <c r="C11" s="82"/>
      <c r="D11" s="82" t="s">
        <v>4</v>
      </c>
      <c r="E11" s="82"/>
      <c r="F11" s="82"/>
      <c r="G11" s="101"/>
      <c r="H11" s="82" t="s">
        <v>5</v>
      </c>
      <c r="I11" s="82"/>
      <c r="J11" s="82"/>
      <c r="K11"/>
      <c r="L11"/>
      <c r="M11"/>
      <c r="N11"/>
    </row>
    <row r="12" spans="1:14" x14ac:dyDescent="0.25">
      <c r="A12"/>
      <c r="B12"/>
      <c r="C12" s="82"/>
      <c r="D12" s="101" t="s">
        <v>6</v>
      </c>
      <c r="E12" s="82"/>
      <c r="F12" s="82"/>
      <c r="G12" s="82"/>
      <c r="H12" s="101" t="s">
        <v>7</v>
      </c>
      <c r="I12" s="82"/>
      <c r="J12" s="82"/>
      <c r="K12"/>
      <c r="L12"/>
      <c r="M12"/>
      <c r="N12"/>
    </row>
    <row r="13" spans="1:14" x14ac:dyDescent="0.25">
      <c r="A13"/>
      <c r="B13"/>
      <c r="C13" s="82"/>
      <c r="D13" s="82" t="s">
        <v>8</v>
      </c>
      <c r="E13" s="82"/>
      <c r="F13" s="82"/>
      <c r="G13" s="82"/>
      <c r="H13" s="82" t="s">
        <v>9</v>
      </c>
      <c r="I13" s="82"/>
      <c r="J13" s="82"/>
      <c r="K13"/>
      <c r="L13"/>
      <c r="M13"/>
      <c r="N13"/>
    </row>
    <row r="14" spans="1:14" x14ac:dyDescent="0.25">
      <c r="A14"/>
      <c r="B14"/>
      <c r="C14"/>
      <c r="D14" s="102"/>
      <c r="E14" s="102"/>
      <c r="F14" s="102"/>
      <c r="G14" s="102"/>
      <c r="H14" s="102"/>
      <c r="I14" s="102"/>
      <c r="J14" s="102"/>
      <c r="K14" s="102"/>
      <c r="L14"/>
      <c r="M14"/>
      <c r="N14"/>
    </row>
    <row r="15" spans="1:14" ht="15.75" x14ac:dyDescent="0.25">
      <c r="A15"/>
      <c r="B15"/>
      <c r="C15" s="105" t="s">
        <v>10</v>
      </c>
      <c r="D15" s="105"/>
      <c r="E15" s="105"/>
      <c r="F15" s="105"/>
      <c r="G15" s="105"/>
      <c r="H15" s="105"/>
      <c r="I15" s="105"/>
      <c r="J15" s="105"/>
      <c r="K15" s="102"/>
      <c r="L15"/>
      <c r="M15"/>
      <c r="N15"/>
    </row>
    <row r="16" spans="1:14" ht="15.75" x14ac:dyDescent="0.25">
      <c r="A16"/>
      <c r="B16"/>
      <c r="C16" s="106" t="s">
        <v>11</v>
      </c>
      <c r="D16" s="105"/>
      <c r="E16" s="105"/>
      <c r="F16" s="105"/>
      <c r="G16" s="105"/>
      <c r="H16" s="105"/>
      <c r="I16" s="105"/>
      <c r="J16" s="105"/>
      <c r="K16" s="102"/>
      <c r="L16"/>
      <c r="M16"/>
      <c r="N16"/>
    </row>
    <row r="17" spans="1:14" x14ac:dyDescent="0.25">
      <c r="A17"/>
      <c r="B17"/>
      <c r="C17" s="102" t="s">
        <v>12</v>
      </c>
      <c r="D17" s="102"/>
      <c r="E17" s="102"/>
      <c r="F17" s="102"/>
      <c r="G17" s="102"/>
      <c r="H17" s="102"/>
      <c r="I17" s="102"/>
      <c r="J17" s="102"/>
      <c r="K17" s="102"/>
      <c r="L17"/>
      <c r="M17"/>
      <c r="N17"/>
    </row>
    <row r="18" spans="1:14" x14ac:dyDescent="0.25">
      <c r="A18"/>
      <c r="B18"/>
      <c r="C18"/>
      <c r="D18" s="102"/>
      <c r="E18" s="102"/>
      <c r="F18" s="102"/>
      <c r="G18" s="102"/>
      <c r="H18" s="102"/>
      <c r="I18" s="102"/>
      <c r="J18" s="102"/>
      <c r="K18" s="102"/>
      <c r="L18"/>
      <c r="M18"/>
      <c r="N18"/>
    </row>
    <row r="19" spans="1:14" x14ac:dyDescent="0.25">
      <c r="A19"/>
      <c r="B19"/>
      <c r="C19"/>
      <c r="D19" s="102"/>
      <c r="E19" s="102"/>
      <c r="F19" s="102"/>
      <c r="G19" s="102"/>
      <c r="H19" s="102"/>
      <c r="I19" s="102"/>
      <c r="J19" s="102"/>
      <c r="K19" s="102"/>
      <c r="L19"/>
      <c r="M19"/>
      <c r="N19"/>
    </row>
    <row r="20" spans="1:14" s="120" customFormat="1" ht="12.75" x14ac:dyDescent="0.2">
      <c r="A20" s="103"/>
      <c r="B20" s="282" t="s">
        <v>13</v>
      </c>
      <c r="C20" s="282"/>
      <c r="D20" s="282"/>
      <c r="E20" s="282"/>
      <c r="F20" s="282"/>
      <c r="G20" s="282"/>
      <c r="H20" s="282"/>
      <c r="I20" s="282"/>
      <c r="J20" s="282"/>
      <c r="K20" s="282"/>
      <c r="L20" s="103"/>
      <c r="M20" s="103"/>
      <c r="N20" s="103"/>
    </row>
    <row r="21" spans="1:14" x14ac:dyDescent="0.25">
      <c r="A21"/>
      <c r="B21"/>
      <c r="C21" s="104"/>
      <c r="D21" s="259"/>
      <c r="E21" s="259"/>
      <c r="F21" s="259"/>
      <c r="G21" s="259"/>
      <c r="H21" s="259"/>
      <c r="I21" s="259"/>
      <c r="J21" s="259"/>
      <c r="K21" s="259"/>
      <c r="L21" s="259"/>
      <c r="M21" s="259"/>
      <c r="N21"/>
    </row>
    <row r="22" spans="1:14" x14ac:dyDescent="0.25">
      <c r="A22"/>
      <c r="B22"/>
      <c r="C22" s="259"/>
      <c r="D22" s="259"/>
      <c r="E22" s="259"/>
      <c r="F22" s="259"/>
      <c r="G22" s="259"/>
      <c r="H22" s="259"/>
      <c r="I22" s="259"/>
      <c r="J22" s="259"/>
      <c r="K22" s="259"/>
      <c r="L22" s="259"/>
      <c r="M22" s="259"/>
      <c r="N22"/>
    </row>
    <row r="23" spans="1:14" x14ac:dyDescent="0.25">
      <c r="A23"/>
      <c r="B23"/>
      <c r="C23"/>
      <c r="D23"/>
      <c r="E23"/>
      <c r="F23"/>
      <c r="G23"/>
      <c r="H23"/>
      <c r="I23"/>
      <c r="J23"/>
      <c r="K23"/>
      <c r="L23"/>
      <c r="M23"/>
      <c r="N23"/>
    </row>
    <row r="24" spans="1:14" x14ac:dyDescent="0.25">
      <c r="A24"/>
      <c r="B24"/>
      <c r="C24"/>
      <c r="D24"/>
      <c r="E24"/>
      <c r="F24"/>
      <c r="G24"/>
      <c r="H24"/>
      <c r="I24"/>
      <c r="J24"/>
      <c r="K24"/>
      <c r="L24"/>
      <c r="M24"/>
      <c r="N24"/>
    </row>
    <row r="25" spans="1:14" x14ac:dyDescent="0.25">
      <c r="A25"/>
      <c r="B25"/>
      <c r="C25"/>
      <c r="D25"/>
      <c r="E25"/>
      <c r="F25"/>
      <c r="G25"/>
      <c r="H25"/>
      <c r="I25"/>
      <c r="J25"/>
      <c r="K25"/>
      <c r="L25"/>
      <c r="M25"/>
      <c r="N25"/>
    </row>
    <row r="26" spans="1:14" x14ac:dyDescent="0.25">
      <c r="A26"/>
      <c r="B26"/>
      <c r="C26"/>
      <c r="D26"/>
      <c r="E26"/>
      <c r="F26"/>
      <c r="G26"/>
      <c r="H26"/>
      <c r="I26"/>
      <c r="J26"/>
      <c r="K26"/>
      <c r="L26"/>
      <c r="M26"/>
      <c r="N26"/>
    </row>
    <row r="27" spans="1:14" x14ac:dyDescent="0.25">
      <c r="A27"/>
      <c r="B27"/>
      <c r="C27"/>
      <c r="D27"/>
      <c r="E27"/>
      <c r="F27"/>
      <c r="G27"/>
      <c r="H27"/>
      <c r="I27"/>
      <c r="J27"/>
      <c r="K27"/>
      <c r="L27"/>
      <c r="M27"/>
      <c r="N27"/>
    </row>
    <row r="28" spans="1:14" x14ac:dyDescent="0.25">
      <c r="A28"/>
      <c r="B28"/>
      <c r="C28"/>
      <c r="D28"/>
      <c r="E28"/>
      <c r="F28"/>
      <c r="G28"/>
      <c r="H28"/>
      <c r="I28"/>
      <c r="J28"/>
      <c r="K28"/>
      <c r="L28"/>
      <c r="M28"/>
      <c r="N28"/>
    </row>
    <row r="29" spans="1:14" x14ac:dyDescent="0.25">
      <c r="A29"/>
      <c r="B29"/>
      <c r="C29"/>
      <c r="D29"/>
      <c r="E29"/>
      <c r="F29"/>
      <c r="G29"/>
      <c r="H29"/>
      <c r="I29"/>
      <c r="J29"/>
      <c r="K29"/>
      <c r="L29"/>
      <c r="M29"/>
      <c r="N29"/>
    </row>
    <row r="30" spans="1:14" x14ac:dyDescent="0.25">
      <c r="A30"/>
      <c r="B30"/>
      <c r="C30"/>
      <c r="D30"/>
      <c r="E30"/>
      <c r="F30"/>
      <c r="G30"/>
      <c r="H30"/>
      <c r="I30"/>
      <c r="J30"/>
      <c r="K30"/>
      <c r="L30"/>
      <c r="M30"/>
      <c r="N30"/>
    </row>
    <row r="31" spans="1:14" x14ac:dyDescent="0.25">
      <c r="A31"/>
      <c r="B31"/>
      <c r="C31"/>
      <c r="D31"/>
      <c r="E31"/>
      <c r="F31"/>
      <c r="G31"/>
      <c r="H31"/>
      <c r="I31"/>
      <c r="J31"/>
      <c r="K31"/>
      <c r="L31"/>
      <c r="M31"/>
      <c r="N31"/>
    </row>
    <row r="32" spans="1:14" x14ac:dyDescent="0.25">
      <c r="A32"/>
      <c r="B32"/>
      <c r="C32"/>
      <c r="D32"/>
      <c r="E32"/>
      <c r="F32"/>
      <c r="G32"/>
      <c r="H32"/>
      <c r="I32"/>
      <c r="J32"/>
      <c r="K32"/>
      <c r="L32"/>
      <c r="M32"/>
      <c r="N32"/>
    </row>
    <row r="33" spans="1:14" x14ac:dyDescent="0.25">
      <c r="A33"/>
      <c r="B33"/>
      <c r="C33"/>
      <c r="D33"/>
      <c r="E33"/>
      <c r="F33"/>
      <c r="G33"/>
      <c r="H33"/>
      <c r="I33"/>
      <c r="J33"/>
      <c r="K33"/>
      <c r="L33"/>
      <c r="M33"/>
      <c r="N33"/>
    </row>
    <row r="34" spans="1:14" x14ac:dyDescent="0.25">
      <c r="A34"/>
      <c r="B34"/>
      <c r="C34"/>
      <c r="D34"/>
      <c r="E34"/>
      <c r="F34"/>
      <c r="G34"/>
      <c r="H34"/>
      <c r="I34"/>
      <c r="J34"/>
      <c r="K34"/>
      <c r="L34"/>
      <c r="M34"/>
      <c r="N34"/>
    </row>
    <row r="35" spans="1:14" x14ac:dyDescent="0.25">
      <c r="A35" s="125"/>
      <c r="B35" s="125"/>
      <c r="C35" s="125"/>
      <c r="D35" s="125"/>
      <c r="E35" s="125"/>
      <c r="F35" s="125"/>
      <c r="G35" s="125"/>
      <c r="H35" s="125"/>
      <c r="I35" s="125"/>
      <c r="J35" s="125"/>
      <c r="K35" s="125"/>
      <c r="L35" s="125"/>
      <c r="M35" s="125"/>
      <c r="N35" s="125"/>
    </row>
    <row r="36" spans="1:14" x14ac:dyDescent="0.25">
      <c r="A36" s="125"/>
      <c r="B36" s="125"/>
      <c r="C36" s="125"/>
      <c r="D36" s="125"/>
      <c r="E36" s="125"/>
      <c r="F36" s="125"/>
      <c r="G36" s="125"/>
      <c r="H36" s="125"/>
      <c r="I36" s="125"/>
      <c r="J36" s="125"/>
      <c r="K36" s="125"/>
      <c r="L36" s="125"/>
      <c r="M36" s="125"/>
      <c r="N36" s="125"/>
    </row>
    <row r="37" spans="1:14" x14ac:dyDescent="0.25">
      <c r="A37" s="125"/>
      <c r="B37" s="125"/>
      <c r="C37" s="125"/>
      <c r="D37" s="125"/>
      <c r="E37" s="125"/>
      <c r="F37" s="125"/>
      <c r="G37" s="125"/>
      <c r="H37" s="125"/>
      <c r="I37" s="125"/>
      <c r="J37" s="125"/>
      <c r="K37" s="125"/>
      <c r="L37" s="125"/>
      <c r="M37" s="125"/>
      <c r="N37" s="125"/>
    </row>
    <row r="38" spans="1:14" x14ac:dyDescent="0.25">
      <c r="A38" s="125"/>
      <c r="B38" s="125"/>
      <c r="C38" s="125"/>
      <c r="D38" s="125"/>
      <c r="E38" s="125"/>
      <c r="F38" s="125"/>
      <c r="G38" s="125"/>
      <c r="H38" s="125"/>
      <c r="I38" s="125"/>
      <c r="J38" s="125"/>
      <c r="K38" s="125"/>
      <c r="L38" s="125"/>
      <c r="M38" s="125"/>
      <c r="N38" s="125"/>
    </row>
    <row r="39" spans="1:14" x14ac:dyDescent="0.25">
      <c r="A39" s="125"/>
      <c r="B39" s="125"/>
      <c r="C39" s="125"/>
      <c r="D39" s="125"/>
      <c r="E39" s="125"/>
      <c r="F39" s="125"/>
      <c r="G39" s="125"/>
      <c r="H39" s="125"/>
      <c r="I39" s="125"/>
      <c r="J39" s="125"/>
      <c r="K39" s="125"/>
      <c r="L39" s="125"/>
      <c r="M39" s="125"/>
      <c r="N39" s="125"/>
    </row>
  </sheetData>
  <mergeCells count="4">
    <mergeCell ref="B2:K2"/>
    <mergeCell ref="B8:K8"/>
    <mergeCell ref="D9:I9"/>
    <mergeCell ref="B20:K20"/>
  </mergeCells>
  <hyperlinks>
    <hyperlink ref="D12" r:id="rId1"/>
    <hyperlink ref="H12"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8"/>
  <sheetViews>
    <sheetView workbookViewId="0">
      <selection activeCell="K16" sqref="K16"/>
    </sheetView>
  </sheetViews>
  <sheetFormatPr defaultColWidth="9.140625" defaultRowHeight="15" x14ac:dyDescent="0.25"/>
  <cols>
    <col min="1" max="1" width="9.140625" style="107"/>
    <col min="2" max="2" width="27.7109375" style="107" customWidth="1"/>
    <col min="3" max="3" width="9.140625" style="107"/>
    <col min="4" max="4" width="17" style="107" bestFit="1" customWidth="1"/>
    <col min="5" max="5" width="9.140625" style="107"/>
    <col min="6" max="6" width="14" style="107" bestFit="1" customWidth="1"/>
    <col min="7" max="7" width="9.140625" style="107"/>
    <col min="8" max="8" width="9.7109375" style="107" bestFit="1" customWidth="1"/>
    <col min="9" max="11" width="9.140625" style="107"/>
    <col min="12" max="12" width="10.42578125" style="107" bestFit="1" customWidth="1"/>
    <col min="13" max="13" width="9.140625" style="107"/>
    <col min="14" max="14" width="9.5703125" style="107" bestFit="1" customWidth="1"/>
    <col min="15" max="16384" width="9.140625" style="107"/>
  </cols>
  <sheetData>
    <row r="1" spans="1:22" ht="15.75" x14ac:dyDescent="0.25">
      <c r="A1" s="296" t="s">
        <v>14</v>
      </c>
      <c r="B1" s="297"/>
      <c r="C1" s="297"/>
      <c r="D1" s="297"/>
      <c r="E1" s="297"/>
      <c r="F1" s="297"/>
      <c r="G1" s="297"/>
      <c r="H1" s="298"/>
      <c r="I1" s="237"/>
      <c r="J1" s="213" t="s">
        <v>15</v>
      </c>
      <c r="K1" s="214"/>
      <c r="L1" s="214"/>
      <c r="M1" s="214"/>
      <c r="N1" s="214"/>
      <c r="O1" s="214"/>
      <c r="P1" s="214"/>
      <c r="Q1" s="214"/>
      <c r="R1" s="214"/>
      <c r="S1" s="288"/>
      <c r="T1" s="288"/>
      <c r="U1" s="288"/>
      <c r="V1" s="288"/>
    </row>
    <row r="2" spans="1:22" x14ac:dyDescent="0.25">
      <c r="A2" s="20"/>
      <c r="B2" s="20"/>
      <c r="C2" s="20"/>
      <c r="D2" s="20"/>
      <c r="E2" s="20"/>
      <c r="F2" s="20"/>
      <c r="G2" s="20"/>
      <c r="H2" s="20"/>
      <c r="I2" s="237"/>
      <c r="J2" s="215"/>
      <c r="K2" s="283" t="s">
        <v>16</v>
      </c>
      <c r="L2" s="284"/>
      <c r="M2" s="284"/>
      <c r="N2" s="284"/>
      <c r="O2" s="284"/>
      <c r="P2" s="284"/>
      <c r="Q2" s="284"/>
      <c r="R2" s="284"/>
      <c r="S2" s="284"/>
      <c r="T2" s="285"/>
      <c r="U2" s="285"/>
      <c r="V2" s="285"/>
    </row>
    <row r="3" spans="1:22" x14ac:dyDescent="0.25">
      <c r="A3" s="21"/>
      <c r="B3" s="22"/>
      <c r="C3" s="23" t="s">
        <v>17</v>
      </c>
      <c r="D3" s="23" t="s">
        <v>18</v>
      </c>
      <c r="E3" s="23" t="s">
        <v>19</v>
      </c>
      <c r="F3" s="23"/>
      <c r="G3" s="23"/>
      <c r="H3" s="23" t="s">
        <v>20</v>
      </c>
      <c r="I3" s="237"/>
      <c r="J3" s="215"/>
      <c r="K3" s="286"/>
      <c r="L3" s="286"/>
      <c r="M3" s="286"/>
      <c r="N3" s="286"/>
      <c r="O3" s="286"/>
      <c r="P3" s="286"/>
      <c r="Q3" s="286"/>
      <c r="R3" s="286"/>
      <c r="S3" s="286"/>
      <c r="T3" s="287"/>
      <c r="U3" s="287"/>
      <c r="V3" s="287"/>
    </row>
    <row r="4" spans="1:22" ht="15" customHeight="1" x14ac:dyDescent="0.25">
      <c r="A4" s="58" t="s">
        <v>21</v>
      </c>
      <c r="B4" s="91"/>
      <c r="C4" s="299"/>
      <c r="D4" s="300"/>
      <c r="E4" s="300"/>
      <c r="F4" s="300"/>
      <c r="G4" s="300"/>
      <c r="H4" s="301"/>
      <c r="I4" s="237"/>
      <c r="J4" s="289" t="s">
        <v>22</v>
      </c>
      <c r="K4" s="216"/>
      <c r="L4" s="233">
        <v>1000</v>
      </c>
      <c r="M4" s="233">
        <v>1100</v>
      </c>
      <c r="N4" s="233">
        <v>1200</v>
      </c>
      <c r="O4" s="233">
        <v>1300</v>
      </c>
      <c r="P4" s="233">
        <v>1400</v>
      </c>
      <c r="Q4" s="233">
        <v>1500</v>
      </c>
      <c r="R4" s="233">
        <v>1600</v>
      </c>
      <c r="S4" s="233">
        <v>1700</v>
      </c>
      <c r="T4" s="233">
        <v>1800</v>
      </c>
      <c r="U4" s="233">
        <v>1900</v>
      </c>
      <c r="V4" s="233">
        <v>2000</v>
      </c>
    </row>
    <row r="5" spans="1:22" x14ac:dyDescent="0.25">
      <c r="A5" s="20"/>
      <c r="B5" s="24" t="s">
        <v>14</v>
      </c>
      <c r="C5" s="25">
        <v>1200</v>
      </c>
      <c r="D5" s="26" t="s">
        <v>23</v>
      </c>
      <c r="E5" s="27">
        <v>0.48</v>
      </c>
      <c r="F5" s="27"/>
      <c r="G5" s="27"/>
      <c r="H5" s="236">
        <f>C5*E5</f>
        <v>576</v>
      </c>
      <c r="I5" s="237"/>
      <c r="J5" s="289"/>
      <c r="K5" s="229">
        <v>0.3</v>
      </c>
      <c r="L5" s="219">
        <f>($L$4*K5)-$H$44-$H$28</f>
        <v>-156.42718181818185</v>
      </c>
      <c r="M5" s="219">
        <f t="shared" ref="M5:M15" si="0">($M$4*K5)-$H$28-$H$44</f>
        <v>-126.42718181818184</v>
      </c>
      <c r="N5" s="219">
        <f t="shared" ref="N5:N15" si="1">($N$4*K5)-$H$28-$H$44</f>
        <v>-96.427181818181836</v>
      </c>
      <c r="O5" s="219">
        <f t="shared" ref="O5:O15" si="2">($O$4*K5)-$H$28-$H$44</f>
        <v>-66.427181818181836</v>
      </c>
      <c r="P5" s="219">
        <f t="shared" ref="P5:P15" si="3">($P$4*K5)-$H$28-$H$44</f>
        <v>-36.427181818181836</v>
      </c>
      <c r="Q5" s="219">
        <f t="shared" ref="Q5:Q15" si="4">($Q$4*K5)-$H$28-$H$44</f>
        <v>-6.4271818181818361</v>
      </c>
      <c r="R5" s="219">
        <f t="shared" ref="R5:R15" si="5">($R$4*K5)-$H$28-$H$44</f>
        <v>23.572818181818164</v>
      </c>
      <c r="S5" s="219">
        <f t="shared" ref="S5:S15" si="6">($S$4*K5)-$H$28-$H$44</f>
        <v>53.572818181818164</v>
      </c>
      <c r="T5" s="219">
        <f t="shared" ref="T5:T15" si="7">($T$4*K5)-$H$28-$H$44</f>
        <v>83.572818181818164</v>
      </c>
      <c r="U5" s="219">
        <f t="shared" ref="U5:U15" si="8">($U$4*K5)-$H$28-$H$44</f>
        <v>113.57281818181816</v>
      </c>
      <c r="V5" s="219">
        <f t="shared" ref="V5:V15" si="9">($V$4*K5)-$H$28-$H$44</f>
        <v>143.57281818181815</v>
      </c>
    </row>
    <row r="6" spans="1:22" x14ac:dyDescent="0.25">
      <c r="A6" s="20"/>
      <c r="B6" s="128" t="s">
        <v>24</v>
      </c>
      <c r="C6" s="124">
        <v>1</v>
      </c>
      <c r="D6" s="125" t="s">
        <v>25</v>
      </c>
      <c r="E6" s="126">
        <v>0</v>
      </c>
      <c r="F6" s="126"/>
      <c r="G6" s="126"/>
      <c r="H6" s="127">
        <f>E6*C6</f>
        <v>0</v>
      </c>
      <c r="I6" s="237"/>
      <c r="J6" s="289"/>
      <c r="K6" s="229">
        <v>0.4</v>
      </c>
      <c r="L6" s="219">
        <f t="shared" ref="L6:L15" si="10">($L$4*K6)-$H$44-$H$28</f>
        <v>-56.42718181818185</v>
      </c>
      <c r="M6" s="219">
        <f t="shared" si="0"/>
        <v>-16.427181818181836</v>
      </c>
      <c r="N6" s="219">
        <f t="shared" si="1"/>
        <v>23.572818181818164</v>
      </c>
      <c r="O6" s="219">
        <f t="shared" si="2"/>
        <v>63.572818181818164</v>
      </c>
      <c r="P6" s="219">
        <f t="shared" si="3"/>
        <v>103.57281818181816</v>
      </c>
      <c r="Q6" s="219">
        <f t="shared" si="4"/>
        <v>143.57281818181815</v>
      </c>
      <c r="R6" s="219">
        <f t="shared" si="5"/>
        <v>183.57281818181815</v>
      </c>
      <c r="S6" s="219">
        <f t="shared" si="6"/>
        <v>223.57281818181815</v>
      </c>
      <c r="T6" s="219">
        <f t="shared" si="7"/>
        <v>263.57281818181815</v>
      </c>
      <c r="U6" s="219">
        <f t="shared" si="8"/>
        <v>303.57281818181815</v>
      </c>
      <c r="V6" s="219">
        <f t="shared" si="9"/>
        <v>343.57281818181815</v>
      </c>
    </row>
    <row r="7" spans="1:22" x14ac:dyDescent="0.25">
      <c r="A7" s="58" t="s">
        <v>26</v>
      </c>
      <c r="B7" s="92"/>
      <c r="C7" s="93"/>
      <c r="D7" s="93"/>
      <c r="E7" s="94"/>
      <c r="F7" s="94"/>
      <c r="G7" s="94"/>
      <c r="H7" s="94">
        <f>+H5+H6</f>
        <v>576</v>
      </c>
      <c r="I7" s="237"/>
      <c r="J7" s="289"/>
      <c r="K7" s="229">
        <v>0.5</v>
      </c>
      <c r="L7" s="219">
        <f t="shared" si="10"/>
        <v>43.57281818181815</v>
      </c>
      <c r="M7" s="219">
        <f t="shared" si="0"/>
        <v>93.572818181818164</v>
      </c>
      <c r="N7" s="219">
        <f t="shared" si="1"/>
        <v>143.57281818181815</v>
      </c>
      <c r="O7" s="219">
        <f t="shared" si="2"/>
        <v>193.57281818181815</v>
      </c>
      <c r="P7" s="219">
        <f t="shared" si="3"/>
        <v>243.57281818181815</v>
      </c>
      <c r="Q7" s="219">
        <f t="shared" si="4"/>
        <v>293.57281818181815</v>
      </c>
      <c r="R7" s="219">
        <f t="shared" si="5"/>
        <v>343.57281818181815</v>
      </c>
      <c r="S7" s="219">
        <f t="shared" si="6"/>
        <v>393.57281818181815</v>
      </c>
      <c r="T7" s="219">
        <f t="shared" si="7"/>
        <v>443.57281818181815</v>
      </c>
      <c r="U7" s="219">
        <f t="shared" si="8"/>
        <v>493.57281818181815</v>
      </c>
      <c r="V7" s="219">
        <f t="shared" si="9"/>
        <v>543.57281818181821</v>
      </c>
    </row>
    <row r="8" spans="1:22" x14ac:dyDescent="0.25">
      <c r="A8" s="20"/>
      <c r="B8" s="24"/>
      <c r="C8" s="26"/>
      <c r="D8" s="26"/>
      <c r="E8" s="26"/>
      <c r="F8" s="26"/>
      <c r="G8" s="26"/>
      <c r="H8" s="26"/>
      <c r="I8" s="237"/>
      <c r="J8" s="289"/>
      <c r="K8" s="229">
        <v>0.6</v>
      </c>
      <c r="L8" s="219">
        <f t="shared" si="10"/>
        <v>143.57281818181815</v>
      </c>
      <c r="M8" s="219">
        <f t="shared" si="0"/>
        <v>203.57281818181815</v>
      </c>
      <c r="N8" s="219">
        <f t="shared" si="1"/>
        <v>263.57281818181815</v>
      </c>
      <c r="O8" s="219">
        <f t="shared" si="2"/>
        <v>323.57281818181815</v>
      </c>
      <c r="P8" s="219">
        <f t="shared" si="3"/>
        <v>383.57281818181815</v>
      </c>
      <c r="Q8" s="219">
        <f t="shared" si="4"/>
        <v>443.57281818181815</v>
      </c>
      <c r="R8" s="219">
        <f t="shared" si="5"/>
        <v>503.57281818181815</v>
      </c>
      <c r="S8" s="219">
        <f t="shared" si="6"/>
        <v>563.57281818181821</v>
      </c>
      <c r="T8" s="219">
        <f t="shared" si="7"/>
        <v>623.57281818181821</v>
      </c>
      <c r="U8" s="219">
        <f t="shared" si="8"/>
        <v>683.57281818181821</v>
      </c>
      <c r="V8" s="219">
        <f t="shared" si="9"/>
        <v>743.57281818181821</v>
      </c>
    </row>
    <row r="9" spans="1:22" x14ac:dyDescent="0.25">
      <c r="A9" s="63" t="s">
        <v>27</v>
      </c>
      <c r="B9" s="95"/>
      <c r="C9" s="265"/>
      <c r="D9" s="266"/>
      <c r="E9" s="266"/>
      <c r="F9" s="266"/>
      <c r="G9" s="266"/>
      <c r="H9" s="267"/>
      <c r="I9" s="237"/>
      <c r="J9" s="289"/>
      <c r="K9" s="229">
        <v>0.7</v>
      </c>
      <c r="L9" s="219">
        <f t="shared" si="10"/>
        <v>243.57281818181821</v>
      </c>
      <c r="M9" s="219">
        <f t="shared" si="0"/>
        <v>313.57281818181815</v>
      </c>
      <c r="N9" s="219">
        <f t="shared" si="1"/>
        <v>383.57281818181815</v>
      </c>
      <c r="O9" s="219">
        <f t="shared" si="2"/>
        <v>453.57281818181804</v>
      </c>
      <c r="P9" s="219">
        <f t="shared" si="3"/>
        <v>523.57281818181809</v>
      </c>
      <c r="Q9" s="219">
        <f t="shared" si="4"/>
        <v>593.57281818181821</v>
      </c>
      <c r="R9" s="219">
        <f t="shared" si="5"/>
        <v>663.57281818181821</v>
      </c>
      <c r="S9" s="219">
        <f t="shared" si="6"/>
        <v>733.57281818181821</v>
      </c>
      <c r="T9" s="219">
        <f t="shared" si="7"/>
        <v>803.57281818181821</v>
      </c>
      <c r="U9" s="219">
        <f t="shared" si="8"/>
        <v>873.57281818181821</v>
      </c>
      <c r="V9" s="219">
        <f t="shared" si="9"/>
        <v>943.57281818181809</v>
      </c>
    </row>
    <row r="10" spans="1:22" x14ac:dyDescent="0.25">
      <c r="A10" s="20"/>
      <c r="B10" s="24" t="s">
        <v>28</v>
      </c>
      <c r="C10" s="235">
        <v>30</v>
      </c>
      <c r="D10" s="239" t="s">
        <v>23</v>
      </c>
      <c r="E10" s="240">
        <v>2</v>
      </c>
      <c r="F10" s="240"/>
      <c r="G10" s="240"/>
      <c r="H10" s="241">
        <f t="shared" ref="H10:H18" si="11">C10*E10</f>
        <v>60</v>
      </c>
      <c r="I10" s="237"/>
      <c r="J10" s="289"/>
      <c r="K10" s="229">
        <v>0.8</v>
      </c>
      <c r="L10" s="219">
        <f t="shared" si="10"/>
        <v>343.57281818181821</v>
      </c>
      <c r="M10" s="219">
        <f t="shared" si="0"/>
        <v>423.57281818181815</v>
      </c>
      <c r="N10" s="219">
        <f t="shared" si="1"/>
        <v>503.57281818181815</v>
      </c>
      <c r="O10" s="219">
        <f t="shared" si="2"/>
        <v>583.57281818181821</v>
      </c>
      <c r="P10" s="219">
        <f t="shared" si="3"/>
        <v>663.57281818181821</v>
      </c>
      <c r="Q10" s="219">
        <f t="shared" si="4"/>
        <v>743.57281818181821</v>
      </c>
      <c r="R10" s="219">
        <f t="shared" si="5"/>
        <v>823.57281818181821</v>
      </c>
      <c r="S10" s="219">
        <f t="shared" si="6"/>
        <v>903.57281818181809</v>
      </c>
      <c r="T10" s="219">
        <f t="shared" si="7"/>
        <v>983.57281818181809</v>
      </c>
      <c r="U10" s="219">
        <f t="shared" si="8"/>
        <v>1063.5728181818181</v>
      </c>
      <c r="V10" s="219">
        <f t="shared" si="9"/>
        <v>1143.5728181818181</v>
      </c>
    </row>
    <row r="11" spans="1:22" x14ac:dyDescent="0.25">
      <c r="A11" s="20"/>
      <c r="B11" s="24" t="s">
        <v>29</v>
      </c>
      <c r="C11" s="110">
        <v>100</v>
      </c>
      <c r="D11" s="29" t="s">
        <v>30</v>
      </c>
      <c r="E11" s="30">
        <v>0.4</v>
      </c>
      <c r="F11" s="30"/>
      <c r="G11" s="30"/>
      <c r="H11" s="236">
        <f t="shared" si="11"/>
        <v>40</v>
      </c>
      <c r="I11" s="237"/>
      <c r="J11" s="289"/>
      <c r="K11" s="229">
        <v>0.9</v>
      </c>
      <c r="L11" s="219">
        <f t="shared" si="10"/>
        <v>443.57281818181821</v>
      </c>
      <c r="M11" s="219">
        <f t="shared" si="0"/>
        <v>533.57281818181821</v>
      </c>
      <c r="N11" s="219">
        <f t="shared" si="1"/>
        <v>623.57281818181821</v>
      </c>
      <c r="O11" s="219">
        <f t="shared" si="2"/>
        <v>713.57281818181821</v>
      </c>
      <c r="P11" s="219">
        <f t="shared" si="3"/>
        <v>803.57281818181821</v>
      </c>
      <c r="Q11" s="219">
        <f t="shared" si="4"/>
        <v>893.57281818181821</v>
      </c>
      <c r="R11" s="219">
        <f t="shared" si="5"/>
        <v>983.57281818181809</v>
      </c>
      <c r="S11" s="219">
        <f t="shared" si="6"/>
        <v>1073.5728181818181</v>
      </c>
      <c r="T11" s="219">
        <f t="shared" si="7"/>
        <v>1163.5728181818181</v>
      </c>
      <c r="U11" s="219">
        <f t="shared" si="8"/>
        <v>1253.5728181818181</v>
      </c>
      <c r="V11" s="219">
        <f t="shared" si="9"/>
        <v>1343.5728181818181</v>
      </c>
    </row>
    <row r="12" spans="1:22" x14ac:dyDescent="0.25">
      <c r="A12" s="20"/>
      <c r="B12" s="24" t="s">
        <v>31</v>
      </c>
      <c r="C12" s="111">
        <v>30</v>
      </c>
      <c r="D12" s="26" t="s">
        <v>30</v>
      </c>
      <c r="E12" s="32">
        <v>0.3</v>
      </c>
      <c r="F12" s="32"/>
      <c r="G12" s="32"/>
      <c r="H12" s="236">
        <f t="shared" si="11"/>
        <v>9</v>
      </c>
      <c r="I12" s="237"/>
      <c r="J12" s="289"/>
      <c r="K12" s="229">
        <v>1</v>
      </c>
      <c r="L12" s="219">
        <f t="shared" si="10"/>
        <v>543.57281818181821</v>
      </c>
      <c r="M12" s="219">
        <f t="shared" si="0"/>
        <v>643.57281818181821</v>
      </c>
      <c r="N12" s="219">
        <f t="shared" si="1"/>
        <v>743.57281818181821</v>
      </c>
      <c r="O12" s="219">
        <f t="shared" si="2"/>
        <v>843.57281818181821</v>
      </c>
      <c r="P12" s="219">
        <f t="shared" si="3"/>
        <v>943.57281818181809</v>
      </c>
      <c r="Q12" s="219">
        <f t="shared" si="4"/>
        <v>1043.5728181818181</v>
      </c>
      <c r="R12" s="219">
        <f t="shared" si="5"/>
        <v>1143.5728181818181</v>
      </c>
      <c r="S12" s="219">
        <f t="shared" si="6"/>
        <v>1243.5728181818181</v>
      </c>
      <c r="T12" s="219">
        <f t="shared" si="7"/>
        <v>1343.5728181818181</v>
      </c>
      <c r="U12" s="219">
        <f t="shared" si="8"/>
        <v>1443.5728181818181</v>
      </c>
      <c r="V12" s="219">
        <f t="shared" si="9"/>
        <v>1543.5728181818181</v>
      </c>
    </row>
    <row r="13" spans="1:22" x14ac:dyDescent="0.25">
      <c r="A13" s="20"/>
      <c r="B13" s="24" t="s">
        <v>32</v>
      </c>
      <c r="C13" s="111">
        <v>45</v>
      </c>
      <c r="D13" s="26" t="s">
        <v>30</v>
      </c>
      <c r="E13" s="32">
        <v>0.3</v>
      </c>
      <c r="F13" s="32"/>
      <c r="G13" s="32"/>
      <c r="H13" s="236">
        <f t="shared" si="11"/>
        <v>13.5</v>
      </c>
      <c r="I13" s="237"/>
      <c r="J13" s="289"/>
      <c r="K13" s="229">
        <v>1.1000000000000001</v>
      </c>
      <c r="L13" s="219">
        <f t="shared" si="10"/>
        <v>643.57281818181821</v>
      </c>
      <c r="M13" s="219">
        <f t="shared" si="0"/>
        <v>753.57281818181821</v>
      </c>
      <c r="N13" s="219">
        <f t="shared" si="1"/>
        <v>863.57281818181821</v>
      </c>
      <c r="O13" s="219">
        <f t="shared" si="2"/>
        <v>973.57281818181855</v>
      </c>
      <c r="P13" s="219">
        <f t="shared" si="3"/>
        <v>1083.5728181818185</v>
      </c>
      <c r="Q13" s="219">
        <f t="shared" si="4"/>
        <v>1193.5728181818185</v>
      </c>
      <c r="R13" s="219">
        <f t="shared" si="5"/>
        <v>1303.5728181818185</v>
      </c>
      <c r="S13" s="219">
        <f t="shared" si="6"/>
        <v>1413.5728181818185</v>
      </c>
      <c r="T13" s="219">
        <f t="shared" si="7"/>
        <v>1523.5728181818185</v>
      </c>
      <c r="U13" s="219">
        <f t="shared" si="8"/>
        <v>1633.5728181818181</v>
      </c>
      <c r="V13" s="219">
        <f t="shared" si="9"/>
        <v>1743.5728181818181</v>
      </c>
    </row>
    <row r="14" spans="1:22" x14ac:dyDescent="0.25">
      <c r="A14" s="20"/>
      <c r="B14" s="24" t="s">
        <v>33</v>
      </c>
      <c r="C14" s="112">
        <v>0.3</v>
      </c>
      <c r="D14" s="26" t="s">
        <v>34</v>
      </c>
      <c r="E14" s="32">
        <v>20</v>
      </c>
      <c r="F14" s="32"/>
      <c r="G14" s="32"/>
      <c r="H14" s="236">
        <f t="shared" si="11"/>
        <v>6</v>
      </c>
      <c r="I14" s="237"/>
      <c r="J14" s="289"/>
      <c r="K14" s="229">
        <v>1.2</v>
      </c>
      <c r="L14" s="219">
        <f t="shared" si="10"/>
        <v>743.57281818181821</v>
      </c>
      <c r="M14" s="219">
        <f t="shared" si="0"/>
        <v>863.57281818181821</v>
      </c>
      <c r="N14" s="219">
        <f t="shared" si="1"/>
        <v>983.57281818181809</v>
      </c>
      <c r="O14" s="219">
        <f t="shared" si="2"/>
        <v>1103.5728181818181</v>
      </c>
      <c r="P14" s="219">
        <f t="shared" si="3"/>
        <v>1223.5728181818181</v>
      </c>
      <c r="Q14" s="219">
        <f t="shared" si="4"/>
        <v>1343.5728181818181</v>
      </c>
      <c r="R14" s="219">
        <f t="shared" si="5"/>
        <v>1463.5728181818181</v>
      </c>
      <c r="S14" s="219">
        <f t="shared" si="6"/>
        <v>1583.5728181818181</v>
      </c>
      <c r="T14" s="219">
        <f t="shared" si="7"/>
        <v>1703.5728181818181</v>
      </c>
      <c r="U14" s="219">
        <f t="shared" si="8"/>
        <v>1823.5728181818181</v>
      </c>
      <c r="V14" s="219">
        <f t="shared" si="9"/>
        <v>1943.5728181818181</v>
      </c>
    </row>
    <row r="15" spans="1:22" x14ac:dyDescent="0.25">
      <c r="A15" s="20"/>
      <c r="B15" s="1" t="s">
        <v>35</v>
      </c>
      <c r="C15" s="113">
        <v>1</v>
      </c>
      <c r="D15" s="7" t="s">
        <v>25</v>
      </c>
      <c r="E15" s="16">
        <v>0</v>
      </c>
      <c r="F15" s="16"/>
      <c r="G15" s="16"/>
      <c r="H15" s="9">
        <f t="shared" si="11"/>
        <v>0</v>
      </c>
      <c r="I15" s="237"/>
      <c r="J15" s="289"/>
      <c r="K15" s="229">
        <v>1.3</v>
      </c>
      <c r="L15" s="219">
        <f t="shared" si="10"/>
        <v>843.57281818181821</v>
      </c>
      <c r="M15" s="219">
        <f t="shared" si="0"/>
        <v>973.57281818181809</v>
      </c>
      <c r="N15" s="219">
        <f t="shared" si="1"/>
        <v>1103.5728181818181</v>
      </c>
      <c r="O15" s="219">
        <f t="shared" si="2"/>
        <v>1233.5728181818181</v>
      </c>
      <c r="P15" s="219">
        <f t="shared" si="3"/>
        <v>1363.5728181818181</v>
      </c>
      <c r="Q15" s="219">
        <f t="shared" si="4"/>
        <v>1493.5728181818181</v>
      </c>
      <c r="R15" s="219">
        <f t="shared" si="5"/>
        <v>1623.5728181818181</v>
      </c>
      <c r="S15" s="219">
        <f t="shared" si="6"/>
        <v>1753.5728181818181</v>
      </c>
      <c r="T15" s="219">
        <f t="shared" si="7"/>
        <v>1883.5728181818181</v>
      </c>
      <c r="U15" s="219">
        <f t="shared" si="8"/>
        <v>2013.5728181818181</v>
      </c>
      <c r="V15" s="219">
        <f t="shared" si="9"/>
        <v>2143.5728181818181</v>
      </c>
    </row>
    <row r="16" spans="1:22" x14ac:dyDescent="0.25">
      <c r="A16" s="20"/>
      <c r="B16" s="24" t="s">
        <v>36</v>
      </c>
      <c r="C16" s="110">
        <v>1</v>
      </c>
      <c r="D16" s="26" t="s">
        <v>37</v>
      </c>
      <c r="E16" s="53">
        <v>7</v>
      </c>
      <c r="F16" s="53"/>
      <c r="G16" s="53"/>
      <c r="H16" s="236">
        <f t="shared" si="11"/>
        <v>7</v>
      </c>
      <c r="I16" s="237"/>
      <c r="J16" s="237"/>
      <c r="K16" s="237"/>
      <c r="L16" s="237"/>
      <c r="M16" s="237"/>
      <c r="N16" s="237"/>
      <c r="O16" s="237"/>
      <c r="P16" s="237"/>
      <c r="Q16" s="237"/>
      <c r="R16" s="237"/>
      <c r="S16" s="237"/>
      <c r="T16" s="237"/>
      <c r="U16" s="237"/>
      <c r="V16" s="237"/>
    </row>
    <row r="17" spans="1:19" x14ac:dyDescent="0.25">
      <c r="A17" s="20"/>
      <c r="B17" s="57" t="s">
        <v>38</v>
      </c>
      <c r="C17" s="123">
        <f>$C$5/44</f>
        <v>27.272727272727273</v>
      </c>
      <c r="D17" s="26" t="s">
        <v>39</v>
      </c>
      <c r="E17" s="36">
        <v>0.31</v>
      </c>
      <c r="F17" s="36"/>
      <c r="G17" s="45"/>
      <c r="H17" s="236">
        <f>E17*C17</f>
        <v>8.454545454545455</v>
      </c>
      <c r="I17" s="237"/>
      <c r="J17" s="237"/>
      <c r="K17" s="237"/>
      <c r="L17" s="237"/>
      <c r="M17" s="237"/>
      <c r="N17" s="237"/>
      <c r="O17" s="237"/>
      <c r="P17" s="237"/>
      <c r="Q17" s="237"/>
      <c r="R17" s="237"/>
      <c r="S17" s="108"/>
    </row>
    <row r="18" spans="1:19" x14ac:dyDescent="0.25">
      <c r="A18" s="20"/>
      <c r="B18" s="37" t="s">
        <v>40</v>
      </c>
      <c r="C18" s="114">
        <v>1</v>
      </c>
      <c r="D18" s="26" t="s">
        <v>25</v>
      </c>
      <c r="E18" s="32">
        <v>0</v>
      </c>
      <c r="F18" s="32"/>
      <c r="G18" s="32"/>
      <c r="H18" s="236">
        <f t="shared" si="11"/>
        <v>0</v>
      </c>
      <c r="I18" s="237"/>
      <c r="J18" s="237"/>
      <c r="K18" s="237"/>
      <c r="L18" s="237"/>
      <c r="M18" s="237"/>
      <c r="N18" s="237"/>
      <c r="O18" s="237"/>
      <c r="P18" s="237"/>
      <c r="Q18" s="237"/>
      <c r="R18" s="237"/>
      <c r="S18" s="237"/>
    </row>
    <row r="19" spans="1:19" x14ac:dyDescent="0.25">
      <c r="A19" s="20"/>
      <c r="B19" s="37" t="s">
        <v>41</v>
      </c>
      <c r="C19" s="114">
        <v>1</v>
      </c>
      <c r="D19" s="26" t="s">
        <v>25</v>
      </c>
      <c r="E19" s="32">
        <v>150</v>
      </c>
      <c r="F19" s="32"/>
      <c r="G19" s="32"/>
      <c r="H19" s="236">
        <f>C19*E19</f>
        <v>150</v>
      </c>
      <c r="I19" s="237"/>
      <c r="J19" s="237"/>
      <c r="K19" s="237"/>
      <c r="L19" s="237"/>
      <c r="M19" s="237"/>
      <c r="N19" s="237"/>
      <c r="O19" s="237"/>
      <c r="P19" s="237"/>
      <c r="Q19" s="237"/>
      <c r="R19" s="237"/>
      <c r="S19" s="237"/>
    </row>
    <row r="20" spans="1:19" x14ac:dyDescent="0.25">
      <c r="A20" s="20"/>
      <c r="B20" s="37" t="s">
        <v>42</v>
      </c>
      <c r="C20" s="115">
        <f>C5</f>
        <v>1200</v>
      </c>
      <c r="D20" s="26" t="s">
        <v>23</v>
      </c>
      <c r="E20" s="43">
        <v>1E-3</v>
      </c>
      <c r="F20" s="32" t="s">
        <v>43</v>
      </c>
      <c r="G20" s="42">
        <v>10</v>
      </c>
      <c r="H20" s="236">
        <f>E20*C20*G20</f>
        <v>12</v>
      </c>
      <c r="I20" s="237"/>
      <c r="J20" s="237"/>
      <c r="K20" s="237"/>
      <c r="L20" s="237"/>
      <c r="M20" s="237"/>
      <c r="N20" s="237"/>
      <c r="O20" s="237"/>
      <c r="P20" s="237"/>
      <c r="Q20" s="237"/>
      <c r="R20" s="237"/>
      <c r="S20" s="237"/>
    </row>
    <row r="21" spans="1:19" x14ac:dyDescent="0.25">
      <c r="A21" s="20"/>
      <c r="B21" s="24" t="s">
        <v>24</v>
      </c>
      <c r="C21" s="114">
        <v>1</v>
      </c>
      <c r="D21" s="26" t="s">
        <v>25</v>
      </c>
      <c r="E21" s="32">
        <v>0</v>
      </c>
      <c r="F21" s="32"/>
      <c r="G21" s="32"/>
      <c r="H21" s="236">
        <f>E21*C21</f>
        <v>0</v>
      </c>
      <c r="I21" s="237"/>
      <c r="J21" s="237"/>
      <c r="K21" s="237"/>
      <c r="L21" s="237"/>
      <c r="M21" s="237"/>
      <c r="N21" s="237"/>
      <c r="O21" s="237"/>
      <c r="P21" s="237"/>
      <c r="Q21" s="237"/>
      <c r="R21" s="237"/>
      <c r="S21" s="237"/>
    </row>
    <row r="22" spans="1:19" x14ac:dyDescent="0.25">
      <c r="A22" s="20"/>
      <c r="B22" s="1" t="s">
        <v>44</v>
      </c>
      <c r="C22" s="100">
        <v>1</v>
      </c>
      <c r="D22" s="7" t="s">
        <v>45</v>
      </c>
      <c r="E22" s="11">
        <v>400</v>
      </c>
      <c r="F22" s="11" t="s">
        <v>46</v>
      </c>
      <c r="G22" s="48">
        <v>20</v>
      </c>
      <c r="H22" s="9">
        <f>(C22*E22)/G22</f>
        <v>20</v>
      </c>
      <c r="I22" s="237"/>
      <c r="J22" s="237"/>
      <c r="K22" s="237"/>
      <c r="L22" s="237"/>
      <c r="M22" s="237"/>
      <c r="N22" s="237"/>
      <c r="O22" s="237"/>
      <c r="P22" s="237"/>
      <c r="Q22" s="237"/>
      <c r="R22" s="237"/>
      <c r="S22" s="237"/>
    </row>
    <row r="23" spans="1:19" s="234" customFormat="1" x14ac:dyDescent="0.25">
      <c r="A23" s="20"/>
      <c r="B23" s="1" t="s">
        <v>47</v>
      </c>
      <c r="C23" s="100">
        <v>1</v>
      </c>
      <c r="D23" s="7" t="s">
        <v>25</v>
      </c>
      <c r="E23" s="11">
        <v>0</v>
      </c>
      <c r="F23" s="11"/>
      <c r="G23" s="48"/>
      <c r="H23" s="9">
        <f>E23*C23</f>
        <v>0</v>
      </c>
      <c r="I23" s="237"/>
      <c r="J23" s="237"/>
      <c r="K23" s="237"/>
      <c r="L23" s="237"/>
      <c r="M23" s="237"/>
      <c r="N23" s="237"/>
      <c r="O23" s="237"/>
      <c r="P23" s="237"/>
      <c r="Q23" s="237"/>
      <c r="R23" s="237"/>
      <c r="S23" s="237"/>
    </row>
    <row r="24" spans="1:19" s="234" customFormat="1" x14ac:dyDescent="0.25">
      <c r="A24" s="20"/>
      <c r="B24" s="1" t="s">
        <v>48</v>
      </c>
      <c r="C24" s="100">
        <v>1</v>
      </c>
      <c r="D24" s="7" t="s">
        <v>25</v>
      </c>
      <c r="E24" s="11">
        <v>0</v>
      </c>
      <c r="F24" s="11"/>
      <c r="G24" s="48"/>
      <c r="H24" s="9">
        <f>E24*C24</f>
        <v>0</v>
      </c>
      <c r="I24" s="237"/>
      <c r="J24" s="237"/>
      <c r="K24" s="237"/>
      <c r="L24" s="237"/>
      <c r="M24" s="237"/>
      <c r="N24" s="237"/>
      <c r="O24" s="237"/>
      <c r="P24" s="237"/>
      <c r="Q24" s="237"/>
      <c r="R24" s="237"/>
      <c r="S24" s="237"/>
    </row>
    <row r="25" spans="1:19" x14ac:dyDescent="0.25">
      <c r="A25" s="20"/>
      <c r="B25" s="24" t="s">
        <v>49</v>
      </c>
      <c r="C25" s="116">
        <f>SUM(H10:H24)+SUM(H26:H27)</f>
        <v>325.9545454545455</v>
      </c>
      <c r="D25" s="26" t="s">
        <v>50</v>
      </c>
      <c r="E25" s="38">
        <v>0.06</v>
      </c>
      <c r="F25" s="19" t="s">
        <v>51</v>
      </c>
      <c r="G25" s="14">
        <v>6</v>
      </c>
      <c r="H25" s="236">
        <f>C25*E25*(G25/12)</f>
        <v>9.7786363636363642</v>
      </c>
      <c r="I25" s="237"/>
      <c r="J25" s="237"/>
      <c r="K25" s="237"/>
      <c r="L25" s="237"/>
      <c r="M25" s="237"/>
      <c r="N25" s="237"/>
      <c r="O25" s="237"/>
      <c r="P25" s="237"/>
      <c r="Q25" s="237"/>
      <c r="R25" s="237"/>
      <c r="S25" s="237"/>
    </row>
    <row r="26" spans="1:19" x14ac:dyDescent="0.25">
      <c r="A26" s="20"/>
      <c r="B26" s="37" t="s">
        <v>52</v>
      </c>
      <c r="C26" s="115">
        <v>1</v>
      </c>
      <c r="D26" s="26" t="s">
        <v>25</v>
      </c>
      <c r="E26" s="32">
        <v>0</v>
      </c>
      <c r="F26" s="32"/>
      <c r="G26" s="42"/>
      <c r="H26" s="236">
        <f>E26*C26</f>
        <v>0</v>
      </c>
      <c r="I26" s="237"/>
      <c r="J26" s="237"/>
      <c r="K26" s="237"/>
      <c r="L26" s="237"/>
      <c r="M26" s="237"/>
      <c r="N26" s="237"/>
      <c r="O26" s="237"/>
      <c r="P26" s="237"/>
      <c r="Q26" s="237"/>
      <c r="R26" s="237"/>
      <c r="S26" s="237"/>
    </row>
    <row r="27" spans="1:19" x14ac:dyDescent="0.25">
      <c r="A27" s="20"/>
      <c r="B27" s="24" t="s">
        <v>53</v>
      </c>
      <c r="C27" s="114">
        <v>1</v>
      </c>
      <c r="D27" s="26" t="s">
        <v>25</v>
      </c>
      <c r="E27" s="32">
        <v>0</v>
      </c>
      <c r="F27" s="32"/>
      <c r="G27" s="32"/>
      <c r="H27" s="236">
        <f>E27*C27</f>
        <v>0</v>
      </c>
      <c r="I27" s="237"/>
      <c r="J27" s="237"/>
      <c r="K27" s="237"/>
      <c r="L27" s="237"/>
      <c r="M27" s="237"/>
      <c r="N27" s="237"/>
      <c r="O27" s="237"/>
      <c r="P27" s="237"/>
      <c r="Q27" s="237"/>
      <c r="R27" s="237"/>
      <c r="S27" s="237"/>
    </row>
    <row r="28" spans="1:19" x14ac:dyDescent="0.25">
      <c r="A28" s="63" t="s">
        <v>54</v>
      </c>
      <c r="B28" s="95"/>
      <c r="C28" s="93"/>
      <c r="D28" s="93"/>
      <c r="E28" s="93"/>
      <c r="F28" s="93"/>
      <c r="G28" s="93"/>
      <c r="H28" s="94">
        <f>SUM(H10:H27)</f>
        <v>335.73318181818183</v>
      </c>
      <c r="I28" s="237"/>
      <c r="J28" s="237"/>
      <c r="K28" s="237"/>
      <c r="L28" s="237"/>
      <c r="M28" s="237"/>
      <c r="N28" s="237"/>
      <c r="O28" s="237"/>
      <c r="P28" s="237"/>
      <c r="Q28" s="237"/>
      <c r="R28" s="237"/>
      <c r="S28" s="237"/>
    </row>
    <row r="29" spans="1:19" x14ac:dyDescent="0.25">
      <c r="A29" s="20"/>
      <c r="B29" s="24"/>
      <c r="C29" s="24"/>
      <c r="D29" s="24"/>
      <c r="E29" s="24"/>
      <c r="F29" s="24"/>
      <c r="G29" s="24"/>
      <c r="H29" s="24"/>
      <c r="I29" s="237"/>
      <c r="J29" s="237"/>
      <c r="K29" s="237"/>
      <c r="L29" s="237"/>
      <c r="M29" s="237"/>
      <c r="N29" s="237"/>
      <c r="O29" s="237"/>
      <c r="P29" s="237"/>
      <c r="Q29" s="237"/>
      <c r="R29" s="237"/>
      <c r="S29" s="237"/>
    </row>
    <row r="30" spans="1:19" x14ac:dyDescent="0.25">
      <c r="A30" s="96" t="s">
        <v>55</v>
      </c>
      <c r="B30" s="97"/>
      <c r="C30" s="97"/>
      <c r="D30" s="97"/>
      <c r="E30" s="97"/>
      <c r="F30" s="97"/>
      <c r="G30" s="97"/>
      <c r="H30" s="98">
        <f>H7-H28</f>
        <v>240.26681818181817</v>
      </c>
      <c r="I30" s="237"/>
      <c r="J30" s="237"/>
      <c r="K30" s="237"/>
      <c r="L30" s="237"/>
      <c r="M30" s="237"/>
      <c r="N30" s="237"/>
      <c r="O30" s="237"/>
      <c r="P30" s="237"/>
      <c r="Q30" s="237"/>
      <c r="R30" s="237"/>
      <c r="S30" s="237"/>
    </row>
    <row r="31" spans="1:19" x14ac:dyDescent="0.25">
      <c r="A31" s="183"/>
      <c r="B31" s="154" t="s">
        <v>56</v>
      </c>
      <c r="C31" s="177">
        <v>1</v>
      </c>
      <c r="D31" s="154" t="s">
        <v>25</v>
      </c>
      <c r="E31" s="155">
        <v>32.21</v>
      </c>
      <c r="F31" s="152"/>
      <c r="G31" s="156"/>
      <c r="H31" s="157">
        <f>E31*C31</f>
        <v>32.21</v>
      </c>
      <c r="I31" s="237"/>
      <c r="J31" s="237"/>
      <c r="K31" s="237"/>
      <c r="L31" s="237"/>
      <c r="M31" s="237"/>
      <c r="N31" s="237"/>
      <c r="O31" s="237"/>
      <c r="P31" s="237"/>
      <c r="Q31" s="237"/>
      <c r="R31" s="237"/>
      <c r="S31" s="237"/>
    </row>
    <row r="32" spans="1:19" x14ac:dyDescent="0.25">
      <c r="A32" s="183"/>
      <c r="B32" s="154" t="s">
        <v>57</v>
      </c>
      <c r="C32" s="177">
        <v>1</v>
      </c>
      <c r="D32" s="154" t="s">
        <v>25</v>
      </c>
      <c r="E32" s="155">
        <v>21.43</v>
      </c>
      <c r="F32" s="152"/>
      <c r="G32" s="156"/>
      <c r="H32" s="157">
        <f>E32*C32</f>
        <v>21.43</v>
      </c>
      <c r="I32" s="237"/>
      <c r="J32" s="237"/>
      <c r="K32" s="237"/>
      <c r="L32" s="237"/>
      <c r="M32" s="237"/>
      <c r="N32" s="237"/>
      <c r="O32" s="237"/>
      <c r="P32" s="237"/>
      <c r="Q32" s="237"/>
      <c r="R32" s="237"/>
      <c r="S32" s="237"/>
    </row>
    <row r="33" spans="1:8" x14ac:dyDescent="0.25">
      <c r="A33" s="183"/>
      <c r="B33" s="154" t="s">
        <v>58</v>
      </c>
      <c r="C33" s="15">
        <v>1</v>
      </c>
      <c r="D33" s="182" t="s">
        <v>25</v>
      </c>
      <c r="E33" s="185">
        <v>5.76</v>
      </c>
      <c r="F33" s="7"/>
      <c r="G33" s="7"/>
      <c r="H33" s="157">
        <f>E33*C33</f>
        <v>5.76</v>
      </c>
    </row>
    <row r="34" spans="1:8" x14ac:dyDescent="0.25">
      <c r="A34" s="183"/>
      <c r="B34" s="154" t="s">
        <v>59</v>
      </c>
      <c r="C34" s="15">
        <v>1</v>
      </c>
      <c r="D34" s="182" t="s">
        <v>25</v>
      </c>
      <c r="E34" s="99">
        <f>194.52/5</f>
        <v>38.904000000000003</v>
      </c>
      <c r="F34" s="7"/>
      <c r="G34" s="7"/>
      <c r="H34" s="157">
        <f>+E34*C34</f>
        <v>38.904000000000003</v>
      </c>
    </row>
    <row r="35" spans="1:8" x14ac:dyDescent="0.25">
      <c r="A35" s="183"/>
      <c r="B35" s="154" t="s">
        <v>60</v>
      </c>
      <c r="C35" s="15">
        <v>1</v>
      </c>
      <c r="D35" s="182" t="s">
        <v>61</v>
      </c>
      <c r="E35" s="186">
        <v>4.76</v>
      </c>
      <c r="F35" s="7"/>
      <c r="G35" s="182"/>
      <c r="H35" s="157">
        <f>+E35*C35</f>
        <v>4.76</v>
      </c>
    </row>
    <row r="36" spans="1:8" x14ac:dyDescent="0.25">
      <c r="A36" s="183"/>
      <c r="B36" s="154" t="s">
        <v>62</v>
      </c>
      <c r="C36" s="15">
        <v>1</v>
      </c>
      <c r="D36" s="182" t="s">
        <v>25</v>
      </c>
      <c r="E36" s="186">
        <v>1.1299999999999999</v>
      </c>
      <c r="F36" s="182"/>
      <c r="G36" s="182"/>
      <c r="H36" s="192">
        <f>+E36*C36</f>
        <v>1.1299999999999999</v>
      </c>
    </row>
    <row r="37" spans="1:8" x14ac:dyDescent="0.25">
      <c r="A37" s="136"/>
      <c r="B37" s="57" t="s">
        <v>63</v>
      </c>
      <c r="C37" s="114">
        <v>1</v>
      </c>
      <c r="D37" s="26"/>
      <c r="E37" s="35">
        <v>10.5</v>
      </c>
      <c r="F37" s="35"/>
      <c r="G37" s="35"/>
      <c r="H37" s="166">
        <f>C37*E37</f>
        <v>10.5</v>
      </c>
    </row>
    <row r="38" spans="1:8" x14ac:dyDescent="0.25">
      <c r="A38" s="183"/>
      <c r="B38" s="154" t="s">
        <v>64</v>
      </c>
      <c r="C38" s="15">
        <v>1</v>
      </c>
      <c r="D38" s="182" t="s">
        <v>25</v>
      </c>
      <c r="E38" s="191">
        <v>1</v>
      </c>
      <c r="F38" s="182"/>
      <c r="G38" s="182"/>
      <c r="H38" s="192">
        <f>+E38*C38</f>
        <v>1</v>
      </c>
    </row>
    <row r="39" spans="1:8" x14ac:dyDescent="0.25">
      <c r="A39" s="158"/>
      <c r="B39" s="154" t="s">
        <v>65</v>
      </c>
      <c r="C39" s="177">
        <v>1</v>
      </c>
      <c r="D39" s="154" t="s">
        <v>25</v>
      </c>
      <c r="E39" s="155">
        <v>5</v>
      </c>
      <c r="F39" s="158"/>
      <c r="G39" s="159"/>
      <c r="H39" s="157">
        <f>E39*C39</f>
        <v>5</v>
      </c>
    </row>
    <row r="40" spans="1:8" x14ac:dyDescent="0.25">
      <c r="A40" s="158"/>
      <c r="B40" s="154" t="s">
        <v>66</v>
      </c>
      <c r="C40" s="177">
        <v>1</v>
      </c>
      <c r="D40" s="154" t="s">
        <v>25</v>
      </c>
      <c r="E40" s="155">
        <v>0</v>
      </c>
      <c r="F40" s="158"/>
      <c r="G40" s="159"/>
      <c r="H40" s="157">
        <f>E40*C40</f>
        <v>0</v>
      </c>
    </row>
    <row r="41" spans="1:8" x14ac:dyDescent="0.25">
      <c r="A41" s="138"/>
      <c r="B41" s="147" t="s">
        <v>67</v>
      </c>
      <c r="C41" s="177">
        <v>0</v>
      </c>
      <c r="D41" s="147" t="s">
        <v>68</v>
      </c>
      <c r="E41" s="167">
        <v>0</v>
      </c>
      <c r="F41" s="138"/>
      <c r="G41" s="138"/>
      <c r="H41" s="157">
        <f>E41*C41</f>
        <v>0</v>
      </c>
    </row>
    <row r="42" spans="1:8" s="234" customFormat="1" x14ac:dyDescent="0.25">
      <c r="A42" s="136"/>
      <c r="B42" s="147" t="s">
        <v>69</v>
      </c>
      <c r="C42" s="177">
        <v>1</v>
      </c>
      <c r="D42" s="147" t="s">
        <v>25</v>
      </c>
      <c r="E42" s="167">
        <v>0</v>
      </c>
      <c r="F42" s="138"/>
      <c r="G42" s="139"/>
      <c r="H42" s="157">
        <f>E42*C42</f>
        <v>0</v>
      </c>
    </row>
    <row r="43" spans="1:8" x14ac:dyDescent="0.25">
      <c r="A43" s="136"/>
      <c r="B43" s="147" t="s">
        <v>70</v>
      </c>
      <c r="C43" s="177">
        <v>1</v>
      </c>
      <c r="D43" s="147" t="s">
        <v>25</v>
      </c>
      <c r="E43" s="167">
        <v>0</v>
      </c>
      <c r="F43" s="138"/>
      <c r="G43" s="139"/>
      <c r="H43" s="157">
        <f>E43*C43</f>
        <v>0</v>
      </c>
    </row>
    <row r="44" spans="1:8" x14ac:dyDescent="0.25">
      <c r="A44" s="291" t="s">
        <v>71</v>
      </c>
      <c r="B44" s="292"/>
      <c r="C44" s="292"/>
      <c r="D44" s="292"/>
      <c r="E44" s="292"/>
      <c r="F44" s="292"/>
      <c r="G44" s="292"/>
      <c r="H44" s="206">
        <f>SUM(H31:H43)</f>
        <v>120.694</v>
      </c>
    </row>
    <row r="45" spans="1:8" x14ac:dyDescent="0.25">
      <c r="A45" s="294"/>
      <c r="B45" s="295"/>
      <c r="C45" s="295"/>
      <c r="D45" s="295"/>
      <c r="E45" s="295"/>
      <c r="F45" s="295"/>
      <c r="G45" s="295"/>
      <c r="H45" s="209"/>
    </row>
    <row r="46" spans="1:8" x14ac:dyDescent="0.25">
      <c r="A46" s="291" t="s">
        <v>72</v>
      </c>
      <c r="B46" s="292"/>
      <c r="C46" s="292"/>
      <c r="D46" s="292"/>
      <c r="E46" s="292"/>
      <c r="F46" s="292"/>
      <c r="G46" s="293"/>
      <c r="H46" s="207">
        <f>+H7-H28-H44</f>
        <v>119.57281818181816</v>
      </c>
    </row>
    <row r="47" spans="1:8" x14ac:dyDescent="0.25">
      <c r="A47" s="210" t="s">
        <v>73</v>
      </c>
      <c r="B47" s="211"/>
      <c r="C47" s="211"/>
      <c r="D47" s="211"/>
      <c r="E47" s="211"/>
      <c r="F47" s="211"/>
      <c r="G47" s="211"/>
      <c r="H47" s="212"/>
    </row>
    <row r="48" spans="1:8" x14ac:dyDescent="0.25">
      <c r="A48" s="290"/>
      <c r="B48" s="290"/>
      <c r="C48" s="290"/>
      <c r="D48" s="290"/>
      <c r="E48" s="290"/>
      <c r="F48" s="290"/>
      <c r="G48" s="290"/>
      <c r="H48" s="237"/>
    </row>
  </sheetData>
  <mergeCells count="9">
    <mergeCell ref="K2:V3"/>
    <mergeCell ref="S1:V1"/>
    <mergeCell ref="J4:J15"/>
    <mergeCell ref="A48:G48"/>
    <mergeCell ref="A44:G44"/>
    <mergeCell ref="A46:G46"/>
    <mergeCell ref="A45:G45"/>
    <mergeCell ref="A1:H1"/>
    <mergeCell ref="C4:H4"/>
  </mergeCells>
  <pageMargins left="0.7" right="0.7" top="0.75" bottom="0.75" header="0.3" footer="0.3"/>
  <pageSetup scale="88"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7"/>
  <sheetViews>
    <sheetView workbookViewId="0">
      <selection activeCell="G22" sqref="G22"/>
    </sheetView>
  </sheetViews>
  <sheetFormatPr defaultColWidth="9.140625" defaultRowHeight="15" x14ac:dyDescent="0.25"/>
  <cols>
    <col min="1" max="1" width="9.140625" style="107"/>
    <col min="2" max="2" width="24.7109375" style="107" bestFit="1" customWidth="1"/>
    <col min="3" max="3" width="10" style="107" bestFit="1" customWidth="1"/>
    <col min="4" max="5" width="9.140625" style="107"/>
    <col min="6" max="6" width="16" style="107" bestFit="1" customWidth="1"/>
    <col min="7" max="7" width="9.140625" style="107"/>
    <col min="8" max="8" width="10" style="107" bestFit="1" customWidth="1"/>
    <col min="9" max="15" width="9.140625" style="107"/>
    <col min="16" max="17" width="9.140625" style="107" customWidth="1"/>
    <col min="18" max="16384" width="9.140625" style="107"/>
  </cols>
  <sheetData>
    <row r="1" spans="1:22" ht="15.75" x14ac:dyDescent="0.25">
      <c r="A1" s="296" t="s">
        <v>74</v>
      </c>
      <c r="B1" s="304"/>
      <c r="C1" s="304"/>
      <c r="D1" s="304"/>
      <c r="E1" s="304"/>
      <c r="F1" s="304"/>
      <c r="G1" s="304"/>
      <c r="H1" s="305"/>
      <c r="I1" s="237"/>
      <c r="J1" s="213" t="s">
        <v>15</v>
      </c>
      <c r="K1" s="214"/>
      <c r="L1" s="214"/>
      <c r="M1" s="214"/>
      <c r="N1" s="214"/>
      <c r="O1" s="214"/>
      <c r="P1" s="214"/>
      <c r="Q1" s="214"/>
      <c r="R1" s="214"/>
      <c r="S1" s="288"/>
      <c r="T1" s="288"/>
      <c r="U1" s="288"/>
      <c r="V1" s="288"/>
    </row>
    <row r="2" spans="1:22" x14ac:dyDescent="0.25">
      <c r="A2" s="20"/>
      <c r="B2" s="20"/>
      <c r="C2" s="20"/>
      <c r="D2" s="20"/>
      <c r="E2" s="20"/>
      <c r="F2" s="20"/>
      <c r="G2" s="20"/>
      <c r="H2" s="20"/>
      <c r="I2" s="237"/>
      <c r="J2" s="309" t="s">
        <v>22</v>
      </c>
      <c r="K2" s="283" t="s">
        <v>16</v>
      </c>
      <c r="L2" s="284"/>
      <c r="M2" s="284"/>
      <c r="N2" s="284"/>
      <c r="O2" s="284"/>
      <c r="P2" s="284"/>
      <c r="Q2" s="284"/>
      <c r="R2" s="284"/>
      <c r="S2" s="284"/>
      <c r="T2" s="285"/>
      <c r="U2" s="285"/>
      <c r="V2" s="285"/>
    </row>
    <row r="3" spans="1:22" x14ac:dyDescent="0.25">
      <c r="A3" s="21"/>
      <c r="B3" s="22"/>
      <c r="C3" s="23" t="s">
        <v>17</v>
      </c>
      <c r="D3" s="23" t="s">
        <v>18</v>
      </c>
      <c r="E3" s="23" t="s">
        <v>19</v>
      </c>
      <c r="F3" s="23"/>
      <c r="G3" s="23"/>
      <c r="H3" s="23" t="s">
        <v>20</v>
      </c>
      <c r="I3" s="237"/>
      <c r="J3" s="285"/>
      <c r="K3" s="286"/>
      <c r="L3" s="286"/>
      <c r="M3" s="286"/>
      <c r="N3" s="286"/>
      <c r="O3" s="286"/>
      <c r="P3" s="286"/>
      <c r="Q3" s="286"/>
      <c r="R3" s="286"/>
      <c r="S3" s="286"/>
      <c r="T3" s="287"/>
      <c r="U3" s="287"/>
      <c r="V3" s="287"/>
    </row>
    <row r="4" spans="1:22" ht="14.45" customHeight="1" x14ac:dyDescent="0.25">
      <c r="A4" s="58" t="s">
        <v>21</v>
      </c>
      <c r="B4" s="91"/>
      <c r="C4" s="299"/>
      <c r="D4" s="300"/>
      <c r="E4" s="300"/>
      <c r="F4" s="300"/>
      <c r="G4" s="300"/>
      <c r="H4" s="301"/>
      <c r="I4" s="237"/>
      <c r="J4" s="285"/>
      <c r="K4" s="216"/>
      <c r="L4" s="233">
        <v>5000</v>
      </c>
      <c r="M4" s="233">
        <v>6000</v>
      </c>
      <c r="N4" s="233">
        <v>7000</v>
      </c>
      <c r="O4" s="233">
        <v>8000</v>
      </c>
      <c r="P4" s="233">
        <v>9000</v>
      </c>
      <c r="Q4" s="233">
        <v>10000</v>
      </c>
      <c r="R4" s="233">
        <v>11000</v>
      </c>
      <c r="S4" s="233">
        <v>12000</v>
      </c>
      <c r="T4" s="233">
        <v>13000</v>
      </c>
      <c r="U4" s="233">
        <v>14000</v>
      </c>
      <c r="V4" s="233">
        <v>15000</v>
      </c>
    </row>
    <row r="5" spans="1:22" x14ac:dyDescent="0.25">
      <c r="A5" s="20"/>
      <c r="B5" s="24" t="s">
        <v>74</v>
      </c>
      <c r="C5" s="25">
        <v>8000</v>
      </c>
      <c r="D5" s="26" t="s">
        <v>23</v>
      </c>
      <c r="E5" s="27">
        <v>0.11</v>
      </c>
      <c r="F5" s="27"/>
      <c r="G5" s="27"/>
      <c r="H5" s="236">
        <f>C5*E5</f>
        <v>880</v>
      </c>
      <c r="I5" s="237"/>
      <c r="J5" s="285"/>
      <c r="K5" s="229">
        <v>0.03</v>
      </c>
      <c r="L5" s="219">
        <f t="shared" ref="L5:L28" si="0">($L$4*K5)-$H$28-$H$44</f>
        <v>-413.79489999999998</v>
      </c>
      <c r="M5" s="219">
        <f t="shared" ref="M5:M28" si="1">($M$4*K5)-$H$28-$H$44</f>
        <v>-383.79489999999998</v>
      </c>
      <c r="N5" s="219">
        <f t="shared" ref="N5:N28" si="2">($N$4*K5)-$H$28-$H$44</f>
        <v>-353.79489999999998</v>
      </c>
      <c r="O5" s="219">
        <f t="shared" ref="O5:O28" si="3">($O$4*K5)-$H$28-$H$44</f>
        <v>-323.79489999999998</v>
      </c>
      <c r="P5" s="219">
        <f t="shared" ref="P5:P28" si="4">($P$4*K5)-$H$28-$H$44</f>
        <v>-293.79489999999998</v>
      </c>
      <c r="Q5" s="219">
        <f t="shared" ref="Q5:Q28" si="5">($Q$4*K5)-$H$28-$H$44</f>
        <v>-263.79489999999998</v>
      </c>
      <c r="R5" s="219">
        <f t="shared" ref="R5:R28" si="6">($R$4*K5)-$H$28-$H$44</f>
        <v>-233.79489999999998</v>
      </c>
      <c r="S5" s="219">
        <f t="shared" ref="S5:S28" si="7">($S$4*K5)-$H$28-$H$44</f>
        <v>-203.79489999999998</v>
      </c>
      <c r="T5" s="219">
        <f t="shared" ref="T5:T28" si="8">($T$4*K5)-$H$28-$H$44</f>
        <v>-173.79489999999998</v>
      </c>
      <c r="U5" s="219">
        <f t="shared" ref="U5:U28" si="9">($U$4*K5)-$H$28-$H$44</f>
        <v>-143.79489999999998</v>
      </c>
      <c r="V5" s="219">
        <f t="shared" ref="V5:V28" si="10">($V$4*K5)-$H$28-$H$44</f>
        <v>-113.79489999999997</v>
      </c>
    </row>
    <row r="6" spans="1:22" x14ac:dyDescent="0.25">
      <c r="A6" s="20"/>
      <c r="B6" s="128" t="s">
        <v>24</v>
      </c>
      <c r="C6" s="124">
        <v>1</v>
      </c>
      <c r="D6" s="125" t="s">
        <v>25</v>
      </c>
      <c r="E6" s="126">
        <v>0</v>
      </c>
      <c r="F6" s="126"/>
      <c r="G6" s="126"/>
      <c r="H6" s="127">
        <f>E6*C6</f>
        <v>0</v>
      </c>
      <c r="I6" s="237"/>
      <c r="J6" s="285"/>
      <c r="K6" s="229">
        <v>0.05</v>
      </c>
      <c r="L6" s="219">
        <f t="shared" si="0"/>
        <v>-313.79489999999998</v>
      </c>
      <c r="M6" s="219">
        <f t="shared" si="1"/>
        <v>-263.79489999999998</v>
      </c>
      <c r="N6" s="219">
        <f t="shared" si="2"/>
        <v>-213.79489999999998</v>
      </c>
      <c r="O6" s="219">
        <f t="shared" si="3"/>
        <v>-163.79489999999998</v>
      </c>
      <c r="P6" s="219">
        <f t="shared" si="4"/>
        <v>-113.79489999999997</v>
      </c>
      <c r="Q6" s="219">
        <f t="shared" si="5"/>
        <v>-63.79489999999997</v>
      </c>
      <c r="R6" s="219">
        <f t="shared" si="6"/>
        <v>-13.79489999999997</v>
      </c>
      <c r="S6" s="219">
        <f t="shared" si="7"/>
        <v>36.20510000000003</v>
      </c>
      <c r="T6" s="219">
        <f t="shared" si="8"/>
        <v>86.20510000000003</v>
      </c>
      <c r="U6" s="219">
        <f t="shared" si="9"/>
        <v>136.20510000000002</v>
      </c>
      <c r="V6" s="219">
        <f t="shared" si="10"/>
        <v>186.20510000000002</v>
      </c>
    </row>
    <row r="7" spans="1:22" x14ac:dyDescent="0.25">
      <c r="A7" s="58" t="s">
        <v>26</v>
      </c>
      <c r="B7" s="92"/>
      <c r="C7" s="93"/>
      <c r="D7" s="93"/>
      <c r="E7" s="94"/>
      <c r="F7" s="94"/>
      <c r="G7" s="94"/>
      <c r="H7" s="94">
        <f>+H5+H6</f>
        <v>880</v>
      </c>
      <c r="I7" s="237"/>
      <c r="J7" s="285"/>
      <c r="K7" s="229">
        <v>7.0000000000000007E-2</v>
      </c>
      <c r="L7" s="219">
        <f t="shared" si="0"/>
        <v>-213.79489999999993</v>
      </c>
      <c r="M7" s="219">
        <f t="shared" si="1"/>
        <v>-143.79489999999993</v>
      </c>
      <c r="N7" s="219">
        <f t="shared" si="2"/>
        <v>-73.794899999999913</v>
      </c>
      <c r="O7" s="219">
        <f t="shared" si="3"/>
        <v>-3.79489999999997</v>
      </c>
      <c r="P7" s="219">
        <f t="shared" si="4"/>
        <v>66.205100000000144</v>
      </c>
      <c r="Q7" s="219">
        <f t="shared" si="5"/>
        <v>136.20510000000013</v>
      </c>
      <c r="R7" s="219">
        <f t="shared" si="6"/>
        <v>206.20510000000013</v>
      </c>
      <c r="S7" s="219">
        <f t="shared" si="7"/>
        <v>276.20510000000013</v>
      </c>
      <c r="T7" s="219">
        <f t="shared" si="8"/>
        <v>346.20510000000013</v>
      </c>
      <c r="U7" s="219">
        <f t="shared" si="9"/>
        <v>416.20510000000013</v>
      </c>
      <c r="V7" s="219">
        <f t="shared" si="10"/>
        <v>486.20510000000002</v>
      </c>
    </row>
    <row r="8" spans="1:22" x14ac:dyDescent="0.25">
      <c r="A8" s="20"/>
      <c r="B8" s="24"/>
      <c r="C8" s="26"/>
      <c r="D8" s="26"/>
      <c r="E8" s="26"/>
      <c r="F8" s="26"/>
      <c r="G8" s="26"/>
      <c r="H8" s="26"/>
      <c r="I8" s="237"/>
      <c r="J8" s="285"/>
      <c r="K8" s="229">
        <v>0.09</v>
      </c>
      <c r="L8" s="219">
        <f t="shared" si="0"/>
        <v>-113.79489999999997</v>
      </c>
      <c r="M8" s="219">
        <f t="shared" si="1"/>
        <v>-23.79489999999997</v>
      </c>
      <c r="N8" s="219">
        <f t="shared" si="2"/>
        <v>66.20510000000003</v>
      </c>
      <c r="O8" s="219">
        <f t="shared" si="3"/>
        <v>156.20510000000002</v>
      </c>
      <c r="P8" s="219">
        <f t="shared" si="4"/>
        <v>246.20510000000002</v>
      </c>
      <c r="Q8" s="219">
        <f t="shared" si="5"/>
        <v>336.20510000000002</v>
      </c>
      <c r="R8" s="219">
        <f t="shared" si="6"/>
        <v>426.20510000000002</v>
      </c>
      <c r="S8" s="219">
        <f t="shared" si="7"/>
        <v>516.20510000000002</v>
      </c>
      <c r="T8" s="219">
        <f t="shared" si="8"/>
        <v>606.20510000000002</v>
      </c>
      <c r="U8" s="219">
        <f t="shared" si="9"/>
        <v>696.20510000000002</v>
      </c>
      <c r="V8" s="219">
        <f t="shared" si="10"/>
        <v>786.20510000000002</v>
      </c>
    </row>
    <row r="9" spans="1:22" x14ac:dyDescent="0.25">
      <c r="A9" s="63" t="s">
        <v>27</v>
      </c>
      <c r="B9" s="95"/>
      <c r="C9" s="306"/>
      <c r="D9" s="307"/>
      <c r="E9" s="307"/>
      <c r="F9" s="307"/>
      <c r="G9" s="307"/>
      <c r="H9" s="308"/>
      <c r="I9" s="237"/>
      <c r="J9" s="285"/>
      <c r="K9" s="229">
        <v>0.11</v>
      </c>
      <c r="L9" s="219">
        <f t="shared" si="0"/>
        <v>-13.79489999999997</v>
      </c>
      <c r="M9" s="219">
        <f t="shared" si="1"/>
        <v>96.20510000000003</v>
      </c>
      <c r="N9" s="219">
        <f t="shared" si="2"/>
        <v>206.20510000000002</v>
      </c>
      <c r="O9" s="219">
        <f t="shared" si="3"/>
        <v>316.20510000000002</v>
      </c>
      <c r="P9" s="219">
        <f t="shared" si="4"/>
        <v>426.20510000000002</v>
      </c>
      <c r="Q9" s="219">
        <f t="shared" si="5"/>
        <v>536.20510000000002</v>
      </c>
      <c r="R9" s="219">
        <f t="shared" si="6"/>
        <v>646.20510000000002</v>
      </c>
      <c r="S9" s="219">
        <f t="shared" si="7"/>
        <v>756.20510000000002</v>
      </c>
      <c r="T9" s="219">
        <f t="shared" si="8"/>
        <v>866.20510000000002</v>
      </c>
      <c r="U9" s="219">
        <f t="shared" si="9"/>
        <v>976.20510000000002</v>
      </c>
      <c r="V9" s="219">
        <f t="shared" si="10"/>
        <v>1086.2051000000001</v>
      </c>
    </row>
    <row r="10" spans="1:22" x14ac:dyDescent="0.25">
      <c r="A10" s="20"/>
      <c r="B10" s="24" t="s">
        <v>28</v>
      </c>
      <c r="C10" s="41">
        <v>50</v>
      </c>
      <c r="D10" s="29" t="s">
        <v>23</v>
      </c>
      <c r="E10" s="30">
        <v>2</v>
      </c>
      <c r="F10" s="30"/>
      <c r="G10" s="30"/>
      <c r="H10" s="236">
        <f t="shared" ref="H10:H20" si="11">C10*E10</f>
        <v>100</v>
      </c>
      <c r="I10" s="237"/>
      <c r="J10" s="285"/>
      <c r="K10" s="229">
        <v>0.13</v>
      </c>
      <c r="L10" s="219">
        <f t="shared" si="0"/>
        <v>86.20510000000003</v>
      </c>
      <c r="M10" s="219">
        <f t="shared" si="1"/>
        <v>216.20510000000002</v>
      </c>
      <c r="N10" s="219">
        <f t="shared" si="2"/>
        <v>346.20510000000002</v>
      </c>
      <c r="O10" s="219">
        <f t="shared" si="3"/>
        <v>476.20510000000002</v>
      </c>
      <c r="P10" s="219">
        <f t="shared" si="4"/>
        <v>606.20510000000002</v>
      </c>
      <c r="Q10" s="219">
        <f t="shared" si="5"/>
        <v>736.20510000000002</v>
      </c>
      <c r="R10" s="219">
        <f t="shared" si="6"/>
        <v>866.20510000000002</v>
      </c>
      <c r="S10" s="219">
        <f t="shared" si="7"/>
        <v>996.20510000000002</v>
      </c>
      <c r="T10" s="219">
        <f t="shared" si="8"/>
        <v>1126.2051000000001</v>
      </c>
      <c r="U10" s="219">
        <f t="shared" si="9"/>
        <v>1256.2051000000001</v>
      </c>
      <c r="V10" s="219">
        <f t="shared" si="10"/>
        <v>1386.2051000000001</v>
      </c>
    </row>
    <row r="11" spans="1:22" x14ac:dyDescent="0.25">
      <c r="A11" s="20"/>
      <c r="B11" s="24" t="s">
        <v>29</v>
      </c>
      <c r="C11" s="28">
        <v>50</v>
      </c>
      <c r="D11" s="29" t="s">
        <v>30</v>
      </c>
      <c r="E11" s="30">
        <v>0.4</v>
      </c>
      <c r="F11" s="30"/>
      <c r="G11" s="30"/>
      <c r="H11" s="236">
        <f t="shared" si="11"/>
        <v>20</v>
      </c>
      <c r="I11" s="237"/>
      <c r="J11" s="285"/>
      <c r="K11" s="229">
        <v>0.15</v>
      </c>
      <c r="L11" s="219">
        <f t="shared" si="0"/>
        <v>186.20510000000002</v>
      </c>
      <c r="M11" s="219">
        <f t="shared" si="1"/>
        <v>336.20510000000002</v>
      </c>
      <c r="N11" s="219">
        <f t="shared" si="2"/>
        <v>486.20510000000002</v>
      </c>
      <c r="O11" s="219">
        <f t="shared" si="3"/>
        <v>636.20510000000002</v>
      </c>
      <c r="P11" s="219">
        <f t="shared" si="4"/>
        <v>786.20510000000002</v>
      </c>
      <c r="Q11" s="219">
        <f t="shared" si="5"/>
        <v>936.20510000000002</v>
      </c>
      <c r="R11" s="219">
        <f t="shared" si="6"/>
        <v>1086.2051000000001</v>
      </c>
      <c r="S11" s="219">
        <f t="shared" si="7"/>
        <v>1236.2051000000001</v>
      </c>
      <c r="T11" s="219">
        <f t="shared" si="8"/>
        <v>1386.2051000000001</v>
      </c>
      <c r="U11" s="219">
        <f t="shared" si="9"/>
        <v>1536.2051000000001</v>
      </c>
      <c r="V11" s="219">
        <f t="shared" si="10"/>
        <v>1686.2051000000001</v>
      </c>
    </row>
    <row r="12" spans="1:22" x14ac:dyDescent="0.25">
      <c r="A12" s="20"/>
      <c r="B12" s="24" t="s">
        <v>31</v>
      </c>
      <c r="C12" s="31">
        <v>30</v>
      </c>
      <c r="D12" s="26" t="s">
        <v>30</v>
      </c>
      <c r="E12" s="32">
        <v>0.3</v>
      </c>
      <c r="F12" s="32"/>
      <c r="G12" s="32"/>
      <c r="H12" s="236">
        <f t="shared" si="11"/>
        <v>9</v>
      </c>
      <c r="I12" s="237"/>
      <c r="J12" s="285"/>
      <c r="K12" s="229">
        <v>0.17</v>
      </c>
      <c r="L12" s="219">
        <f t="shared" si="0"/>
        <v>286.20510000000013</v>
      </c>
      <c r="M12" s="219">
        <f t="shared" si="1"/>
        <v>456.20510000000013</v>
      </c>
      <c r="N12" s="219">
        <f t="shared" si="2"/>
        <v>626.20510000000002</v>
      </c>
      <c r="O12" s="219">
        <f t="shared" si="3"/>
        <v>796.20510000000002</v>
      </c>
      <c r="P12" s="219">
        <f t="shared" si="4"/>
        <v>966.20510000000002</v>
      </c>
      <c r="Q12" s="219">
        <f t="shared" si="5"/>
        <v>1136.2051000000004</v>
      </c>
      <c r="R12" s="219">
        <f t="shared" si="6"/>
        <v>1306.2051000000004</v>
      </c>
      <c r="S12" s="219">
        <f t="shared" si="7"/>
        <v>1476.2051000000004</v>
      </c>
      <c r="T12" s="219">
        <f t="shared" si="8"/>
        <v>1646.2051000000001</v>
      </c>
      <c r="U12" s="219">
        <f t="shared" si="9"/>
        <v>1816.2051000000001</v>
      </c>
      <c r="V12" s="219">
        <f t="shared" si="10"/>
        <v>1986.2051000000001</v>
      </c>
    </row>
    <row r="13" spans="1:22" x14ac:dyDescent="0.25">
      <c r="A13" s="20"/>
      <c r="B13" s="24" t="s">
        <v>32</v>
      </c>
      <c r="C13" s="31">
        <v>45</v>
      </c>
      <c r="D13" s="26" t="s">
        <v>30</v>
      </c>
      <c r="E13" s="32">
        <v>0.3</v>
      </c>
      <c r="F13" s="32"/>
      <c r="G13" s="32"/>
      <c r="H13" s="236">
        <f t="shared" si="11"/>
        <v>13.5</v>
      </c>
      <c r="I13" s="237"/>
      <c r="J13" s="285"/>
      <c r="K13" s="229">
        <v>0.19</v>
      </c>
      <c r="L13" s="219">
        <f t="shared" si="0"/>
        <v>386.20510000000002</v>
      </c>
      <c r="M13" s="219">
        <f t="shared" si="1"/>
        <v>576.20510000000002</v>
      </c>
      <c r="N13" s="219">
        <f t="shared" si="2"/>
        <v>766.20510000000002</v>
      </c>
      <c r="O13" s="219">
        <f t="shared" si="3"/>
        <v>956.20510000000002</v>
      </c>
      <c r="P13" s="219">
        <f t="shared" si="4"/>
        <v>1146.2051000000001</v>
      </c>
      <c r="Q13" s="219">
        <f t="shared" si="5"/>
        <v>1336.2051000000001</v>
      </c>
      <c r="R13" s="219">
        <f t="shared" si="6"/>
        <v>1526.2051000000001</v>
      </c>
      <c r="S13" s="219">
        <f t="shared" si="7"/>
        <v>1716.2051000000001</v>
      </c>
      <c r="T13" s="219">
        <f t="shared" si="8"/>
        <v>1906.2051000000001</v>
      </c>
      <c r="U13" s="219">
        <f t="shared" si="9"/>
        <v>2096.2051000000001</v>
      </c>
      <c r="V13" s="219">
        <f t="shared" si="10"/>
        <v>2286.2051000000001</v>
      </c>
    </row>
    <row r="14" spans="1:22" x14ac:dyDescent="0.25">
      <c r="A14" s="20"/>
      <c r="B14" s="24" t="s">
        <v>33</v>
      </c>
      <c r="C14" s="33">
        <v>0.3</v>
      </c>
      <c r="D14" s="26" t="s">
        <v>34</v>
      </c>
      <c r="E14" s="32">
        <v>20</v>
      </c>
      <c r="F14" s="32"/>
      <c r="G14" s="32"/>
      <c r="H14" s="236">
        <f t="shared" si="11"/>
        <v>6</v>
      </c>
      <c r="I14" s="237"/>
      <c r="J14" s="285"/>
      <c r="K14" s="229">
        <v>0.21</v>
      </c>
      <c r="L14" s="219">
        <f t="shared" si="0"/>
        <v>486.20510000000002</v>
      </c>
      <c r="M14" s="219">
        <f t="shared" si="1"/>
        <v>696.20510000000002</v>
      </c>
      <c r="N14" s="219">
        <f t="shared" si="2"/>
        <v>906.20510000000002</v>
      </c>
      <c r="O14" s="219">
        <f t="shared" si="3"/>
        <v>1116.2051000000001</v>
      </c>
      <c r="P14" s="219">
        <f t="shared" si="4"/>
        <v>1326.2051000000001</v>
      </c>
      <c r="Q14" s="219">
        <f t="shared" si="5"/>
        <v>1536.2051000000001</v>
      </c>
      <c r="R14" s="219">
        <f t="shared" si="6"/>
        <v>1746.2051000000001</v>
      </c>
      <c r="S14" s="219">
        <f t="shared" si="7"/>
        <v>1956.2051000000001</v>
      </c>
      <c r="T14" s="219">
        <f t="shared" si="8"/>
        <v>2166.2051000000001</v>
      </c>
      <c r="U14" s="219">
        <f t="shared" si="9"/>
        <v>2376.2051000000001</v>
      </c>
      <c r="V14" s="219">
        <f t="shared" si="10"/>
        <v>2586.2051000000001</v>
      </c>
    </row>
    <row r="15" spans="1:22" x14ac:dyDescent="0.25">
      <c r="A15" s="20"/>
      <c r="B15" s="1" t="s">
        <v>35</v>
      </c>
      <c r="C15" s="12">
        <v>1</v>
      </c>
      <c r="D15" s="7" t="s">
        <v>25</v>
      </c>
      <c r="E15" s="16">
        <v>0</v>
      </c>
      <c r="F15" s="16"/>
      <c r="G15" s="16"/>
      <c r="H15" s="9">
        <f t="shared" si="11"/>
        <v>0</v>
      </c>
      <c r="I15" s="237"/>
      <c r="J15" s="285"/>
      <c r="K15" s="229">
        <v>0.23</v>
      </c>
      <c r="L15" s="219">
        <f t="shared" si="0"/>
        <v>586.20510000000002</v>
      </c>
      <c r="M15" s="219">
        <f t="shared" si="1"/>
        <v>816.20510000000002</v>
      </c>
      <c r="N15" s="219">
        <f t="shared" si="2"/>
        <v>1046.2051000000001</v>
      </c>
      <c r="O15" s="219">
        <f t="shared" si="3"/>
        <v>1276.2051000000001</v>
      </c>
      <c r="P15" s="219">
        <f t="shared" si="4"/>
        <v>1506.2051000000001</v>
      </c>
      <c r="Q15" s="219">
        <f t="shared" si="5"/>
        <v>1736.2051000000001</v>
      </c>
      <c r="R15" s="219">
        <f t="shared" si="6"/>
        <v>1966.2051000000001</v>
      </c>
      <c r="S15" s="219">
        <f t="shared" si="7"/>
        <v>2196.2051000000001</v>
      </c>
      <c r="T15" s="219">
        <f t="shared" si="8"/>
        <v>2426.2051000000001</v>
      </c>
      <c r="U15" s="219">
        <f t="shared" si="9"/>
        <v>2656.2051000000001</v>
      </c>
      <c r="V15" s="219">
        <f t="shared" si="10"/>
        <v>2886.2051000000001</v>
      </c>
    </row>
    <row r="16" spans="1:22" x14ac:dyDescent="0.25">
      <c r="A16" s="20"/>
      <c r="B16" s="24" t="s">
        <v>36</v>
      </c>
      <c r="C16" s="28">
        <v>1</v>
      </c>
      <c r="D16" s="26" t="s">
        <v>37</v>
      </c>
      <c r="E16" s="53">
        <v>7</v>
      </c>
      <c r="F16" s="53"/>
      <c r="G16" s="53"/>
      <c r="H16" s="236">
        <f t="shared" si="11"/>
        <v>7</v>
      </c>
      <c r="I16" s="237"/>
      <c r="J16" s="285"/>
      <c r="K16" s="229">
        <v>0.25</v>
      </c>
      <c r="L16" s="219">
        <f t="shared" si="0"/>
        <v>686.20510000000002</v>
      </c>
      <c r="M16" s="219">
        <f t="shared" si="1"/>
        <v>936.20510000000002</v>
      </c>
      <c r="N16" s="219">
        <f t="shared" si="2"/>
        <v>1186.2051000000001</v>
      </c>
      <c r="O16" s="219">
        <f t="shared" si="3"/>
        <v>1436.2051000000001</v>
      </c>
      <c r="P16" s="219">
        <f t="shared" si="4"/>
        <v>1686.2051000000001</v>
      </c>
      <c r="Q16" s="219">
        <f t="shared" si="5"/>
        <v>1936.2051000000001</v>
      </c>
      <c r="R16" s="219">
        <f t="shared" si="6"/>
        <v>2186.2051000000001</v>
      </c>
      <c r="S16" s="219">
        <f t="shared" si="7"/>
        <v>2436.2051000000001</v>
      </c>
      <c r="T16" s="219">
        <f t="shared" si="8"/>
        <v>2686.2051000000001</v>
      </c>
      <c r="U16" s="219">
        <f t="shared" si="9"/>
        <v>2936.2051000000001</v>
      </c>
      <c r="V16" s="219">
        <f t="shared" si="10"/>
        <v>3186.2051000000001</v>
      </c>
    </row>
    <row r="17" spans="1:22" x14ac:dyDescent="0.25">
      <c r="A17" s="20"/>
      <c r="B17" s="57" t="s">
        <v>75</v>
      </c>
      <c r="C17" s="34">
        <v>1</v>
      </c>
      <c r="D17" s="26" t="s">
        <v>25</v>
      </c>
      <c r="E17" s="35">
        <v>28.33</v>
      </c>
      <c r="F17" s="35"/>
      <c r="G17" s="46"/>
      <c r="H17" s="236">
        <f>E17</f>
        <v>28.33</v>
      </c>
      <c r="I17" s="237"/>
      <c r="J17" s="285"/>
      <c r="K17" s="229">
        <v>0.27</v>
      </c>
      <c r="L17" s="219">
        <f t="shared" si="0"/>
        <v>786.20510000000002</v>
      </c>
      <c r="M17" s="219">
        <f t="shared" si="1"/>
        <v>1056.2051000000001</v>
      </c>
      <c r="N17" s="219">
        <f t="shared" si="2"/>
        <v>1326.2051000000004</v>
      </c>
      <c r="O17" s="219">
        <f t="shared" si="3"/>
        <v>1596.2051000000001</v>
      </c>
      <c r="P17" s="219">
        <f t="shared" si="4"/>
        <v>1866.2051000000001</v>
      </c>
      <c r="Q17" s="219">
        <f t="shared" si="5"/>
        <v>2136.2051000000001</v>
      </c>
      <c r="R17" s="219">
        <f t="shared" si="6"/>
        <v>2406.2051000000001</v>
      </c>
      <c r="S17" s="219">
        <f t="shared" si="7"/>
        <v>2676.2051000000001</v>
      </c>
      <c r="T17" s="219">
        <f t="shared" si="8"/>
        <v>2946.2051000000006</v>
      </c>
      <c r="U17" s="219">
        <f t="shared" si="9"/>
        <v>3216.2051000000006</v>
      </c>
      <c r="V17" s="219">
        <f t="shared" si="10"/>
        <v>3486.2051000000006</v>
      </c>
    </row>
    <row r="18" spans="1:22" x14ac:dyDescent="0.25">
      <c r="A18" s="20"/>
      <c r="B18" s="57" t="s">
        <v>38</v>
      </c>
      <c r="C18" s="39">
        <v>30</v>
      </c>
      <c r="D18" s="26" t="s">
        <v>76</v>
      </c>
      <c r="E18" s="44">
        <v>2.5</v>
      </c>
      <c r="F18" s="36"/>
      <c r="G18" s="45"/>
      <c r="H18" s="236">
        <f>E18*C18</f>
        <v>75</v>
      </c>
      <c r="I18" s="237"/>
      <c r="J18" s="285"/>
      <c r="K18" s="229">
        <v>0.28999999999999998</v>
      </c>
      <c r="L18" s="219">
        <f t="shared" si="0"/>
        <v>886.20510000000002</v>
      </c>
      <c r="M18" s="219">
        <f t="shared" si="1"/>
        <v>1176.2050999999999</v>
      </c>
      <c r="N18" s="219">
        <f t="shared" si="2"/>
        <v>1466.2050999999999</v>
      </c>
      <c r="O18" s="219">
        <f t="shared" si="3"/>
        <v>1756.2051000000001</v>
      </c>
      <c r="P18" s="219">
        <f t="shared" si="4"/>
        <v>2046.2051000000001</v>
      </c>
      <c r="Q18" s="219">
        <f t="shared" si="5"/>
        <v>2336.2051000000001</v>
      </c>
      <c r="R18" s="219">
        <f t="shared" si="6"/>
        <v>2626.2051000000001</v>
      </c>
      <c r="S18" s="219">
        <f t="shared" si="7"/>
        <v>2916.2050999999997</v>
      </c>
      <c r="T18" s="219">
        <f t="shared" si="8"/>
        <v>3206.2050999999997</v>
      </c>
      <c r="U18" s="219">
        <f t="shared" si="9"/>
        <v>3496.2050999999997</v>
      </c>
      <c r="V18" s="219">
        <f t="shared" si="10"/>
        <v>3786.2051000000001</v>
      </c>
    </row>
    <row r="19" spans="1:22" x14ac:dyDescent="0.25">
      <c r="A19" s="20"/>
      <c r="B19" s="37" t="s">
        <v>40</v>
      </c>
      <c r="C19" s="34">
        <v>1</v>
      </c>
      <c r="D19" s="26" t="s">
        <v>25</v>
      </c>
      <c r="E19" s="32">
        <v>0</v>
      </c>
      <c r="F19" s="32"/>
      <c r="G19" s="32"/>
      <c r="H19" s="236">
        <f t="shared" si="11"/>
        <v>0</v>
      </c>
      <c r="I19" s="237"/>
      <c r="J19" s="285"/>
      <c r="K19" s="229">
        <v>0.31</v>
      </c>
      <c r="L19" s="219">
        <f t="shared" si="0"/>
        <v>986.20510000000002</v>
      </c>
      <c r="M19" s="219">
        <f t="shared" si="1"/>
        <v>1296.2051000000001</v>
      </c>
      <c r="N19" s="219">
        <f t="shared" si="2"/>
        <v>1606.2051000000001</v>
      </c>
      <c r="O19" s="219">
        <f t="shared" si="3"/>
        <v>1916.2051000000001</v>
      </c>
      <c r="P19" s="219">
        <f t="shared" si="4"/>
        <v>2226.2051000000001</v>
      </c>
      <c r="Q19" s="219">
        <f t="shared" si="5"/>
        <v>2536.2051000000001</v>
      </c>
      <c r="R19" s="219">
        <f t="shared" si="6"/>
        <v>2846.2051000000001</v>
      </c>
      <c r="S19" s="219">
        <f t="shared" si="7"/>
        <v>3156.2051000000001</v>
      </c>
      <c r="T19" s="219">
        <f t="shared" si="8"/>
        <v>3466.2051000000001</v>
      </c>
      <c r="U19" s="219">
        <f t="shared" si="9"/>
        <v>3776.2051000000001</v>
      </c>
      <c r="V19" s="219">
        <f t="shared" si="10"/>
        <v>4086.2050999999997</v>
      </c>
    </row>
    <row r="20" spans="1:22" x14ac:dyDescent="0.25">
      <c r="A20" s="20"/>
      <c r="B20" s="37" t="s">
        <v>41</v>
      </c>
      <c r="C20" s="34">
        <v>1</v>
      </c>
      <c r="D20" s="26" t="s">
        <v>25</v>
      </c>
      <c r="E20" s="32">
        <v>150</v>
      </c>
      <c r="F20" s="32"/>
      <c r="G20" s="32"/>
      <c r="H20" s="236">
        <f t="shared" si="11"/>
        <v>150</v>
      </c>
      <c r="I20" s="237"/>
      <c r="J20" s="285"/>
      <c r="K20" s="229">
        <v>0.33</v>
      </c>
      <c r="L20" s="219">
        <f t="shared" si="0"/>
        <v>1086.2051000000001</v>
      </c>
      <c r="M20" s="219">
        <f t="shared" si="1"/>
        <v>1416.2051000000001</v>
      </c>
      <c r="N20" s="219">
        <f t="shared" si="2"/>
        <v>1746.2051000000001</v>
      </c>
      <c r="O20" s="219">
        <f t="shared" si="3"/>
        <v>2076.2051000000001</v>
      </c>
      <c r="P20" s="219">
        <f t="shared" si="4"/>
        <v>2406.2051000000001</v>
      </c>
      <c r="Q20" s="219">
        <f t="shared" si="5"/>
        <v>2736.2051000000001</v>
      </c>
      <c r="R20" s="219">
        <f t="shared" si="6"/>
        <v>3066.2051000000001</v>
      </c>
      <c r="S20" s="219">
        <f t="shared" si="7"/>
        <v>3396.2051000000001</v>
      </c>
      <c r="T20" s="219">
        <f t="shared" si="8"/>
        <v>3726.2051000000001</v>
      </c>
      <c r="U20" s="219">
        <f t="shared" si="9"/>
        <v>4056.2050999999997</v>
      </c>
      <c r="V20" s="219">
        <f t="shared" si="10"/>
        <v>4386.2050999999992</v>
      </c>
    </row>
    <row r="21" spans="1:22" x14ac:dyDescent="0.25">
      <c r="A21" s="20"/>
      <c r="B21" s="1" t="s">
        <v>44</v>
      </c>
      <c r="C21" s="100">
        <v>1</v>
      </c>
      <c r="D21" s="7" t="s">
        <v>45</v>
      </c>
      <c r="E21" s="11">
        <v>400</v>
      </c>
      <c r="F21" s="11" t="s">
        <v>46</v>
      </c>
      <c r="G21" s="48">
        <v>20</v>
      </c>
      <c r="H21" s="9">
        <f>(C21*E21)/G21</f>
        <v>20</v>
      </c>
      <c r="I21" s="237"/>
      <c r="J21" s="285"/>
      <c r="K21" s="229">
        <v>0.35</v>
      </c>
      <c r="L21" s="219">
        <f t="shared" si="0"/>
        <v>1186.2051000000001</v>
      </c>
      <c r="M21" s="219">
        <f t="shared" si="1"/>
        <v>1536.2051000000001</v>
      </c>
      <c r="N21" s="219">
        <f t="shared" si="2"/>
        <v>1886.2051000000001</v>
      </c>
      <c r="O21" s="219">
        <f t="shared" si="3"/>
        <v>2236.2051000000001</v>
      </c>
      <c r="P21" s="219">
        <f t="shared" si="4"/>
        <v>2586.2051000000001</v>
      </c>
      <c r="Q21" s="219">
        <f t="shared" si="5"/>
        <v>2936.2051000000001</v>
      </c>
      <c r="R21" s="219">
        <f t="shared" si="6"/>
        <v>3286.2050999999997</v>
      </c>
      <c r="S21" s="219">
        <f t="shared" si="7"/>
        <v>3636.2051000000001</v>
      </c>
      <c r="T21" s="219">
        <f t="shared" si="8"/>
        <v>3986.2050999999997</v>
      </c>
      <c r="U21" s="219">
        <f t="shared" si="9"/>
        <v>4336.2050999999992</v>
      </c>
      <c r="V21" s="219">
        <f t="shared" si="10"/>
        <v>4686.2050999999992</v>
      </c>
    </row>
    <row r="22" spans="1:22" x14ac:dyDescent="0.25">
      <c r="A22" s="20"/>
      <c r="B22" s="24" t="s">
        <v>24</v>
      </c>
      <c r="C22" s="34">
        <v>1</v>
      </c>
      <c r="D22" s="26" t="s">
        <v>25</v>
      </c>
      <c r="E22" s="32">
        <v>0</v>
      </c>
      <c r="F22" s="32"/>
      <c r="G22" s="32"/>
      <c r="H22" s="236">
        <f>E22*C22</f>
        <v>0</v>
      </c>
      <c r="I22" s="237"/>
      <c r="J22" s="285"/>
      <c r="K22" s="229">
        <v>0.37</v>
      </c>
      <c r="L22" s="219">
        <f t="shared" si="0"/>
        <v>1286.2051000000001</v>
      </c>
      <c r="M22" s="219">
        <f t="shared" si="1"/>
        <v>1656.2051000000001</v>
      </c>
      <c r="N22" s="219">
        <f t="shared" si="2"/>
        <v>2026.2051000000001</v>
      </c>
      <c r="O22" s="219">
        <f t="shared" si="3"/>
        <v>2396.2051000000001</v>
      </c>
      <c r="P22" s="219">
        <f t="shared" si="4"/>
        <v>2766.2051000000001</v>
      </c>
      <c r="Q22" s="219">
        <f t="shared" si="5"/>
        <v>3136.2051000000001</v>
      </c>
      <c r="R22" s="219">
        <f t="shared" si="6"/>
        <v>3506.2051000000001</v>
      </c>
      <c r="S22" s="219">
        <f t="shared" si="7"/>
        <v>3876.2051000000001</v>
      </c>
      <c r="T22" s="219">
        <f t="shared" si="8"/>
        <v>4246.2050999999992</v>
      </c>
      <c r="U22" s="219">
        <f t="shared" si="9"/>
        <v>4616.2050999999992</v>
      </c>
      <c r="V22" s="219">
        <f t="shared" si="10"/>
        <v>4986.2050999999992</v>
      </c>
    </row>
    <row r="23" spans="1:22" x14ac:dyDescent="0.25">
      <c r="A23" s="20"/>
      <c r="B23" s="24" t="s">
        <v>49</v>
      </c>
      <c r="C23" s="236">
        <f>SUM(H10:H22)+SUM(H24:H27)</f>
        <v>428.83</v>
      </c>
      <c r="D23" s="26" t="s">
        <v>50</v>
      </c>
      <c r="E23" s="38">
        <v>0.06</v>
      </c>
      <c r="F23" s="19" t="s">
        <v>51</v>
      </c>
      <c r="G23" s="14">
        <v>6</v>
      </c>
      <c r="H23" s="236">
        <f>C23*E23*(G23/12)</f>
        <v>12.864899999999999</v>
      </c>
      <c r="I23" s="237"/>
      <c r="J23" s="285"/>
      <c r="K23" s="229">
        <v>0.39</v>
      </c>
      <c r="L23" s="219">
        <f t="shared" si="0"/>
        <v>1386.2051000000001</v>
      </c>
      <c r="M23" s="219">
        <f t="shared" si="1"/>
        <v>1776.2051000000001</v>
      </c>
      <c r="N23" s="219">
        <f t="shared" si="2"/>
        <v>2166.2051000000001</v>
      </c>
      <c r="O23" s="219">
        <f t="shared" si="3"/>
        <v>2556.2051000000001</v>
      </c>
      <c r="P23" s="219">
        <f t="shared" si="4"/>
        <v>2946.2051000000001</v>
      </c>
      <c r="Q23" s="219">
        <f t="shared" si="5"/>
        <v>3336.2051000000001</v>
      </c>
      <c r="R23" s="219">
        <f t="shared" si="6"/>
        <v>3726.2051000000001</v>
      </c>
      <c r="S23" s="219">
        <f t="shared" si="7"/>
        <v>4116.2050999999992</v>
      </c>
      <c r="T23" s="219">
        <f t="shared" si="8"/>
        <v>4506.2050999999992</v>
      </c>
      <c r="U23" s="219">
        <f t="shared" si="9"/>
        <v>4896.2050999999992</v>
      </c>
      <c r="V23" s="219">
        <f t="shared" si="10"/>
        <v>5286.2050999999992</v>
      </c>
    </row>
    <row r="24" spans="1:22" s="234" customFormat="1" x14ac:dyDescent="0.25">
      <c r="A24" s="20"/>
      <c r="B24" s="24" t="s">
        <v>48</v>
      </c>
      <c r="C24" s="238">
        <v>1</v>
      </c>
      <c r="D24" s="26" t="s">
        <v>25</v>
      </c>
      <c r="E24" s="32">
        <v>0</v>
      </c>
      <c r="F24" s="19"/>
      <c r="G24" s="14"/>
      <c r="H24" s="236">
        <f>C24*E24</f>
        <v>0</v>
      </c>
      <c r="I24" s="237"/>
      <c r="J24" s="285"/>
      <c r="K24" s="229">
        <v>0.41</v>
      </c>
      <c r="L24" s="219">
        <f t="shared" si="0"/>
        <v>1486.2051000000001</v>
      </c>
      <c r="M24" s="219">
        <f t="shared" si="1"/>
        <v>1896.2051000000001</v>
      </c>
      <c r="N24" s="219">
        <f t="shared" si="2"/>
        <v>2306.2051000000001</v>
      </c>
      <c r="O24" s="219">
        <f t="shared" si="3"/>
        <v>2716.2051000000001</v>
      </c>
      <c r="P24" s="219">
        <f t="shared" si="4"/>
        <v>3126.2051000000001</v>
      </c>
      <c r="Q24" s="219">
        <f t="shared" si="5"/>
        <v>3536.2051000000001</v>
      </c>
      <c r="R24" s="219">
        <f t="shared" si="6"/>
        <v>3946.2051000000001</v>
      </c>
      <c r="S24" s="219">
        <f t="shared" si="7"/>
        <v>4356.2050999999992</v>
      </c>
      <c r="T24" s="219">
        <f t="shared" si="8"/>
        <v>4766.2050999999992</v>
      </c>
      <c r="U24" s="219">
        <f t="shared" si="9"/>
        <v>5176.2050999999992</v>
      </c>
      <c r="V24" s="219">
        <f t="shared" si="10"/>
        <v>5586.2050999999992</v>
      </c>
    </row>
    <row r="25" spans="1:22" s="234" customFormat="1" x14ac:dyDescent="0.25">
      <c r="A25" s="20"/>
      <c r="B25" s="24" t="s">
        <v>47</v>
      </c>
      <c r="C25" s="238">
        <v>1</v>
      </c>
      <c r="D25" s="26" t="s">
        <v>25</v>
      </c>
      <c r="E25" s="32">
        <v>0</v>
      </c>
      <c r="F25" s="19"/>
      <c r="G25" s="14"/>
      <c r="H25" s="236">
        <f>E25*C25</f>
        <v>0</v>
      </c>
      <c r="I25" s="237"/>
      <c r="J25" s="285"/>
      <c r="K25" s="229">
        <v>0.43</v>
      </c>
      <c r="L25" s="219">
        <f t="shared" si="0"/>
        <v>1586.2051000000001</v>
      </c>
      <c r="M25" s="219">
        <f t="shared" si="1"/>
        <v>2016.2051000000001</v>
      </c>
      <c r="N25" s="219">
        <f t="shared" si="2"/>
        <v>2446.2051000000001</v>
      </c>
      <c r="O25" s="219">
        <f t="shared" si="3"/>
        <v>2876.2051000000001</v>
      </c>
      <c r="P25" s="219">
        <f t="shared" si="4"/>
        <v>3306.2051000000001</v>
      </c>
      <c r="Q25" s="219">
        <f t="shared" si="5"/>
        <v>3736.2051000000001</v>
      </c>
      <c r="R25" s="219">
        <f t="shared" si="6"/>
        <v>4166.2050999999992</v>
      </c>
      <c r="S25" s="219">
        <f t="shared" si="7"/>
        <v>4596.2050999999992</v>
      </c>
      <c r="T25" s="219">
        <f t="shared" si="8"/>
        <v>5026.2050999999992</v>
      </c>
      <c r="U25" s="219">
        <f t="shared" si="9"/>
        <v>5456.2050999999992</v>
      </c>
      <c r="V25" s="219">
        <f t="shared" si="10"/>
        <v>5886.2050999999992</v>
      </c>
    </row>
    <row r="26" spans="1:22" x14ac:dyDescent="0.25">
      <c r="A26" s="20"/>
      <c r="B26" s="24" t="s">
        <v>52</v>
      </c>
      <c r="C26" s="34">
        <v>1</v>
      </c>
      <c r="D26" s="26" t="s">
        <v>25</v>
      </c>
      <c r="E26" s="32">
        <v>0</v>
      </c>
      <c r="F26" s="32"/>
      <c r="G26" s="32"/>
      <c r="H26" s="236">
        <f>E26*C26</f>
        <v>0</v>
      </c>
      <c r="I26" s="237"/>
      <c r="J26" s="285"/>
      <c r="K26" s="229">
        <v>0.45</v>
      </c>
      <c r="L26" s="219">
        <f t="shared" si="0"/>
        <v>1686.2051000000001</v>
      </c>
      <c r="M26" s="219">
        <f t="shared" si="1"/>
        <v>2136.2051000000001</v>
      </c>
      <c r="N26" s="219">
        <f t="shared" si="2"/>
        <v>2586.2051000000001</v>
      </c>
      <c r="O26" s="219">
        <f t="shared" si="3"/>
        <v>3036.2051000000001</v>
      </c>
      <c r="P26" s="219">
        <f t="shared" si="4"/>
        <v>3486.2051000000001</v>
      </c>
      <c r="Q26" s="219">
        <f t="shared" si="5"/>
        <v>3936.2051000000001</v>
      </c>
      <c r="R26" s="219">
        <f t="shared" si="6"/>
        <v>4386.2050999999992</v>
      </c>
      <c r="S26" s="219">
        <f t="shared" si="7"/>
        <v>4836.2050999999992</v>
      </c>
      <c r="T26" s="219">
        <f t="shared" si="8"/>
        <v>5286.2050999999992</v>
      </c>
      <c r="U26" s="219">
        <f t="shared" si="9"/>
        <v>5736.2050999999992</v>
      </c>
      <c r="V26" s="219">
        <f t="shared" si="10"/>
        <v>6186.2050999999992</v>
      </c>
    </row>
    <row r="27" spans="1:22" x14ac:dyDescent="0.25">
      <c r="A27" s="20"/>
      <c r="B27" s="24" t="s">
        <v>53</v>
      </c>
      <c r="C27" s="34">
        <v>1</v>
      </c>
      <c r="D27" s="26" t="s">
        <v>25</v>
      </c>
      <c r="E27" s="32">
        <v>0</v>
      </c>
      <c r="F27" s="32"/>
      <c r="G27" s="32"/>
      <c r="H27" s="236">
        <f>E27*C27</f>
        <v>0</v>
      </c>
      <c r="I27" s="237"/>
      <c r="J27" s="285"/>
      <c r="K27" s="229">
        <v>0.47</v>
      </c>
      <c r="L27" s="219">
        <f t="shared" si="0"/>
        <v>1786.2051000000001</v>
      </c>
      <c r="M27" s="219">
        <f t="shared" si="1"/>
        <v>2256.2051000000001</v>
      </c>
      <c r="N27" s="219">
        <f t="shared" si="2"/>
        <v>2726.2051000000001</v>
      </c>
      <c r="O27" s="219">
        <f t="shared" si="3"/>
        <v>3196.2051000000001</v>
      </c>
      <c r="P27" s="219">
        <f t="shared" si="4"/>
        <v>3666.2051000000001</v>
      </c>
      <c r="Q27" s="219">
        <f t="shared" si="5"/>
        <v>4136.2050999999992</v>
      </c>
      <c r="R27" s="219">
        <f t="shared" si="6"/>
        <v>4606.2050999999992</v>
      </c>
      <c r="S27" s="219">
        <f t="shared" si="7"/>
        <v>5076.2050999999992</v>
      </c>
      <c r="T27" s="219">
        <f t="shared" si="8"/>
        <v>5546.2050999999992</v>
      </c>
      <c r="U27" s="219">
        <f t="shared" si="9"/>
        <v>6016.2050999999992</v>
      </c>
      <c r="V27" s="219">
        <f t="shared" si="10"/>
        <v>6486.2050999999992</v>
      </c>
    </row>
    <row r="28" spans="1:22" x14ac:dyDescent="0.25">
      <c r="A28" s="63" t="s">
        <v>54</v>
      </c>
      <c r="B28" s="95"/>
      <c r="C28" s="93"/>
      <c r="D28" s="93"/>
      <c r="E28" s="93"/>
      <c r="F28" s="93"/>
      <c r="G28" s="93"/>
      <c r="H28" s="94">
        <f>SUM(H10:H27)</f>
        <v>441.69489999999996</v>
      </c>
      <c r="I28" s="237"/>
      <c r="J28" s="285"/>
      <c r="K28" s="229">
        <v>0.49</v>
      </c>
      <c r="L28" s="219">
        <f t="shared" si="0"/>
        <v>1886.2051000000001</v>
      </c>
      <c r="M28" s="219">
        <f t="shared" si="1"/>
        <v>2376.2051000000001</v>
      </c>
      <c r="N28" s="219">
        <f t="shared" si="2"/>
        <v>2866.2051000000001</v>
      </c>
      <c r="O28" s="219">
        <f t="shared" si="3"/>
        <v>3356.2051000000001</v>
      </c>
      <c r="P28" s="219">
        <f t="shared" si="4"/>
        <v>3846.2051000000001</v>
      </c>
      <c r="Q28" s="219">
        <f t="shared" si="5"/>
        <v>4336.2050999999992</v>
      </c>
      <c r="R28" s="219">
        <f t="shared" si="6"/>
        <v>4826.2050999999992</v>
      </c>
      <c r="S28" s="219">
        <f t="shared" si="7"/>
        <v>5316.2050999999992</v>
      </c>
      <c r="T28" s="219">
        <f t="shared" si="8"/>
        <v>5806.2050999999992</v>
      </c>
      <c r="U28" s="219">
        <f t="shared" si="9"/>
        <v>6296.2050999999992</v>
      </c>
      <c r="V28" s="219">
        <f t="shared" si="10"/>
        <v>6786.2050999999992</v>
      </c>
    </row>
    <row r="29" spans="1:22" x14ac:dyDescent="0.25">
      <c r="A29" s="20"/>
      <c r="B29" s="24"/>
      <c r="C29" s="24"/>
      <c r="D29" s="24"/>
      <c r="E29" s="24"/>
      <c r="F29" s="24"/>
      <c r="G29" s="24"/>
      <c r="H29" s="24"/>
      <c r="I29" s="237"/>
      <c r="J29" s="242"/>
      <c r="K29" s="243"/>
      <c r="L29" s="237"/>
      <c r="M29" s="237"/>
      <c r="N29" s="237"/>
      <c r="O29" s="237"/>
      <c r="P29" s="237"/>
      <c r="Q29" s="237"/>
      <c r="R29" s="237"/>
      <c r="S29" s="237"/>
      <c r="T29" s="237"/>
      <c r="U29" s="237"/>
      <c r="V29" s="237"/>
    </row>
    <row r="30" spans="1:22" x14ac:dyDescent="0.25">
      <c r="A30" s="96" t="s">
        <v>55</v>
      </c>
      <c r="B30" s="97"/>
      <c r="C30" s="97"/>
      <c r="D30" s="97"/>
      <c r="E30" s="97"/>
      <c r="F30" s="97"/>
      <c r="G30" s="97"/>
      <c r="H30" s="98">
        <f>H7-H28</f>
        <v>438.30510000000004</v>
      </c>
      <c r="I30" s="237"/>
      <c r="J30" s="242"/>
      <c r="K30" s="243"/>
      <c r="L30" s="237"/>
      <c r="M30" s="237"/>
      <c r="N30" s="237"/>
      <c r="O30" s="237"/>
      <c r="P30" s="237"/>
      <c r="Q30" s="237"/>
      <c r="R30" s="237"/>
      <c r="S30" s="237"/>
      <c r="T30" s="237"/>
      <c r="U30" s="237"/>
      <c r="V30" s="237"/>
    </row>
    <row r="31" spans="1:22" x14ac:dyDescent="0.25">
      <c r="A31" s="183"/>
      <c r="B31" s="154" t="s">
        <v>56</v>
      </c>
      <c r="C31" s="177">
        <v>1</v>
      </c>
      <c r="D31" s="154" t="s">
        <v>25</v>
      </c>
      <c r="E31" s="155">
        <v>32.21</v>
      </c>
      <c r="F31" s="152"/>
      <c r="G31" s="156"/>
      <c r="H31" s="157">
        <f>E31*C31</f>
        <v>32.21</v>
      </c>
      <c r="I31" s="237"/>
      <c r="J31" s="237"/>
      <c r="K31" s="237"/>
      <c r="L31" s="237"/>
      <c r="M31" s="237"/>
      <c r="N31" s="237"/>
      <c r="O31" s="237"/>
      <c r="P31" s="237"/>
      <c r="Q31" s="237"/>
      <c r="R31" s="237"/>
      <c r="S31" s="237"/>
      <c r="T31" s="237"/>
      <c r="U31" s="237"/>
      <c r="V31" s="237"/>
    </row>
    <row r="32" spans="1:22" x14ac:dyDescent="0.25">
      <c r="A32" s="183"/>
      <c r="B32" s="154" t="s">
        <v>57</v>
      </c>
      <c r="C32" s="177">
        <v>1</v>
      </c>
      <c r="D32" s="154" t="s">
        <v>25</v>
      </c>
      <c r="E32" s="155">
        <v>21.43</v>
      </c>
      <c r="F32" s="152"/>
      <c r="G32" s="156"/>
      <c r="H32" s="157">
        <f>E32*C32</f>
        <v>21.43</v>
      </c>
      <c r="I32" s="237"/>
      <c r="J32" s="237"/>
      <c r="K32" s="237"/>
      <c r="L32" s="237"/>
      <c r="M32" s="237"/>
      <c r="N32" s="237"/>
      <c r="O32" s="237"/>
      <c r="P32" s="237"/>
      <c r="Q32" s="237"/>
      <c r="R32" s="237"/>
      <c r="S32" s="237"/>
      <c r="T32" s="237"/>
      <c r="U32" s="237"/>
      <c r="V32" s="237"/>
    </row>
    <row r="33" spans="1:8" x14ac:dyDescent="0.25">
      <c r="A33" s="183"/>
      <c r="B33" s="154" t="s">
        <v>58</v>
      </c>
      <c r="C33" s="15">
        <v>1</v>
      </c>
      <c r="D33" s="182" t="s">
        <v>25</v>
      </c>
      <c r="E33" s="185">
        <v>5.76</v>
      </c>
      <c r="F33" s="7"/>
      <c r="G33" s="7"/>
      <c r="H33" s="157">
        <f>E33*C33</f>
        <v>5.76</v>
      </c>
    </row>
    <row r="34" spans="1:8" x14ac:dyDescent="0.25">
      <c r="A34" s="183"/>
      <c r="B34" s="154" t="s">
        <v>77</v>
      </c>
      <c r="C34" s="15">
        <v>1</v>
      </c>
      <c r="D34" s="182" t="s">
        <v>25</v>
      </c>
      <c r="E34" s="99">
        <v>7.5</v>
      </c>
      <c r="F34" s="7"/>
      <c r="G34" s="7"/>
      <c r="H34" s="157">
        <f>E34*C34</f>
        <v>7.5</v>
      </c>
    </row>
    <row r="35" spans="1:8" x14ac:dyDescent="0.25">
      <c r="A35" s="183"/>
      <c r="B35" s="154" t="s">
        <v>78</v>
      </c>
      <c r="C35" s="15">
        <v>1</v>
      </c>
      <c r="D35" s="182" t="s">
        <v>25</v>
      </c>
      <c r="E35" s="99">
        <v>13.7</v>
      </c>
      <c r="F35" s="7"/>
      <c r="G35" s="7"/>
      <c r="H35" s="157">
        <f>+E35*C35</f>
        <v>13.7</v>
      </c>
    </row>
    <row r="36" spans="1:8" x14ac:dyDescent="0.25">
      <c r="A36" s="183"/>
      <c r="B36" s="154" t="s">
        <v>79</v>
      </c>
      <c r="C36" s="15">
        <v>1</v>
      </c>
      <c r="D36" s="182" t="s">
        <v>25</v>
      </c>
      <c r="E36" s="99">
        <v>25</v>
      </c>
      <c r="F36" s="7"/>
      <c r="G36" s="7"/>
      <c r="H36" s="157">
        <f>+E36*C36</f>
        <v>25</v>
      </c>
    </row>
    <row r="37" spans="1:8" x14ac:dyDescent="0.25">
      <c r="A37" s="136"/>
      <c r="B37" s="57" t="s">
        <v>63</v>
      </c>
      <c r="C37" s="34">
        <v>1</v>
      </c>
      <c r="D37" s="26" t="s">
        <v>25</v>
      </c>
      <c r="E37" s="35">
        <v>10.5</v>
      </c>
      <c r="F37" s="35"/>
      <c r="G37" s="35"/>
      <c r="H37" s="166">
        <f>C37*E37</f>
        <v>10.5</v>
      </c>
    </row>
    <row r="38" spans="1:8" x14ac:dyDescent="0.25">
      <c r="A38" s="183"/>
      <c r="B38" s="154" t="s">
        <v>64</v>
      </c>
      <c r="C38" s="15">
        <v>1</v>
      </c>
      <c r="D38" s="182" t="s">
        <v>25</v>
      </c>
      <c r="E38" s="191">
        <v>1</v>
      </c>
      <c r="F38" s="182"/>
      <c r="G38" s="182"/>
      <c r="H38" s="192">
        <f>+E38*C38</f>
        <v>1</v>
      </c>
    </row>
    <row r="39" spans="1:8" x14ac:dyDescent="0.25">
      <c r="A39" s="158"/>
      <c r="B39" s="154" t="s">
        <v>65</v>
      </c>
      <c r="C39" s="177">
        <v>1</v>
      </c>
      <c r="D39" s="154" t="s">
        <v>25</v>
      </c>
      <c r="E39" s="155">
        <v>5</v>
      </c>
      <c r="F39" s="158"/>
      <c r="G39" s="159"/>
      <c r="H39" s="157">
        <f>E39*C39</f>
        <v>5</v>
      </c>
    </row>
    <row r="40" spans="1:8" x14ac:dyDescent="0.25">
      <c r="A40" s="158"/>
      <c r="B40" s="154" t="s">
        <v>66</v>
      </c>
      <c r="C40" s="177">
        <v>1</v>
      </c>
      <c r="D40" s="154" t="s">
        <v>25</v>
      </c>
      <c r="E40" s="155">
        <v>0</v>
      </c>
      <c r="F40" s="158"/>
      <c r="G40" s="159"/>
      <c r="H40" s="157">
        <f>E40*C40</f>
        <v>0</v>
      </c>
    </row>
    <row r="41" spans="1:8" x14ac:dyDescent="0.25">
      <c r="A41" s="138"/>
      <c r="B41" s="147" t="s">
        <v>67</v>
      </c>
      <c r="C41" s="177">
        <v>0</v>
      </c>
      <c r="D41" s="147" t="s">
        <v>68</v>
      </c>
      <c r="E41" s="167">
        <v>0</v>
      </c>
      <c r="F41" s="138"/>
      <c r="G41" s="138"/>
      <c r="H41" s="157">
        <f>E41*C41</f>
        <v>0</v>
      </c>
    </row>
    <row r="42" spans="1:8" s="234" customFormat="1" x14ac:dyDescent="0.25">
      <c r="A42" s="136"/>
      <c r="B42" s="147" t="s">
        <v>69</v>
      </c>
      <c r="C42" s="177">
        <v>1</v>
      </c>
      <c r="D42" s="147" t="s">
        <v>25</v>
      </c>
      <c r="E42" s="167">
        <v>0</v>
      </c>
      <c r="F42" s="138"/>
      <c r="G42" s="139"/>
      <c r="H42" s="157">
        <f>E42*C42</f>
        <v>0</v>
      </c>
    </row>
    <row r="43" spans="1:8" x14ac:dyDescent="0.25">
      <c r="A43" s="136"/>
      <c r="B43" s="147" t="s">
        <v>70</v>
      </c>
      <c r="C43" s="177">
        <v>1</v>
      </c>
      <c r="D43" s="147" t="s">
        <v>25</v>
      </c>
      <c r="E43" s="167">
        <v>0</v>
      </c>
      <c r="F43" s="138"/>
      <c r="G43" s="139"/>
      <c r="H43" s="157">
        <f>E43*C43</f>
        <v>0</v>
      </c>
    </row>
    <row r="44" spans="1:8" x14ac:dyDescent="0.25">
      <c r="A44" s="291" t="s">
        <v>71</v>
      </c>
      <c r="B44" s="292"/>
      <c r="C44" s="292"/>
      <c r="D44" s="292"/>
      <c r="E44" s="292"/>
      <c r="F44" s="292"/>
      <c r="G44" s="292"/>
      <c r="H44" s="206">
        <f>SUM(H31:H43)</f>
        <v>122.10000000000001</v>
      </c>
    </row>
    <row r="45" spans="1:8" x14ac:dyDescent="0.25">
      <c r="A45" s="263"/>
      <c r="B45" s="264"/>
      <c r="C45" s="264"/>
      <c r="D45" s="264"/>
      <c r="E45" s="264"/>
      <c r="F45" s="264"/>
      <c r="G45" s="264"/>
      <c r="H45" s="209"/>
    </row>
    <row r="46" spans="1:8" x14ac:dyDescent="0.25">
      <c r="A46" s="291" t="s">
        <v>72</v>
      </c>
      <c r="B46" s="292"/>
      <c r="C46" s="292"/>
      <c r="D46" s="292"/>
      <c r="E46" s="292"/>
      <c r="F46" s="292"/>
      <c r="G46" s="293"/>
      <c r="H46" s="207">
        <f>+H7-H28-H44</f>
        <v>316.20510000000002</v>
      </c>
    </row>
    <row r="47" spans="1:8" x14ac:dyDescent="0.25">
      <c r="A47" s="302" t="s">
        <v>73</v>
      </c>
      <c r="B47" s="303"/>
      <c r="C47" s="303"/>
      <c r="D47" s="303"/>
      <c r="E47" s="303"/>
      <c r="F47" s="303"/>
      <c r="G47" s="303"/>
      <c r="H47" s="303"/>
    </row>
  </sheetData>
  <mergeCells count="9">
    <mergeCell ref="S1:V1"/>
    <mergeCell ref="K2:V3"/>
    <mergeCell ref="A47:H47"/>
    <mergeCell ref="A44:G44"/>
    <mergeCell ref="A46:G46"/>
    <mergeCell ref="A1:H1"/>
    <mergeCell ref="C4:H4"/>
    <mergeCell ref="C9:H9"/>
    <mergeCell ref="J2:J28"/>
  </mergeCells>
  <pageMargins left="0.7" right="0.7" top="0.75" bottom="0.75" header="0.3" footer="0.3"/>
  <pageSetup scale="9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7"/>
  <sheetViews>
    <sheetView zoomScaleNormal="100" workbookViewId="0">
      <selection activeCell="C33" sqref="C33"/>
    </sheetView>
  </sheetViews>
  <sheetFormatPr defaultColWidth="9.140625" defaultRowHeight="15" x14ac:dyDescent="0.25"/>
  <cols>
    <col min="1" max="1" width="9.140625" style="107"/>
    <col min="2" max="2" width="27.85546875" style="107" customWidth="1"/>
    <col min="3" max="3" width="14.85546875" style="107" customWidth="1"/>
    <col min="4" max="5" width="9.140625" style="107"/>
    <col min="6" max="6" width="17.140625" style="107" customWidth="1"/>
    <col min="7" max="7" width="9.140625" style="107"/>
    <col min="8" max="8" width="25" style="107" customWidth="1"/>
    <col min="9" max="16384" width="9.140625" style="107"/>
  </cols>
  <sheetData>
    <row r="1" spans="1:8" ht="15.75" x14ac:dyDescent="0.25">
      <c r="A1" s="310" t="s">
        <v>80</v>
      </c>
      <c r="B1" s="311"/>
      <c r="C1" s="311"/>
      <c r="D1" s="311"/>
      <c r="E1" s="311"/>
      <c r="F1" s="311"/>
      <c r="G1" s="311"/>
      <c r="H1" s="312"/>
    </row>
    <row r="2" spans="1:8" x14ac:dyDescent="0.25">
      <c r="A2" s="1"/>
      <c r="B2" s="1"/>
      <c r="C2" s="1"/>
      <c r="D2" s="1"/>
      <c r="E2" s="1"/>
      <c r="F2" s="1"/>
      <c r="G2" s="1"/>
      <c r="H2" s="1"/>
    </row>
    <row r="3" spans="1:8" x14ac:dyDescent="0.25">
      <c r="A3" s="2"/>
      <c r="B3" s="2"/>
      <c r="C3" s="3" t="s">
        <v>17</v>
      </c>
      <c r="D3" s="3" t="s">
        <v>18</v>
      </c>
      <c r="E3" s="3" t="s">
        <v>19</v>
      </c>
      <c r="F3" s="3"/>
      <c r="G3" s="3"/>
      <c r="H3" s="3" t="s">
        <v>20</v>
      </c>
    </row>
    <row r="4" spans="1:8" x14ac:dyDescent="0.25">
      <c r="A4" s="58" t="s">
        <v>21</v>
      </c>
      <c r="B4" s="59"/>
      <c r="C4" s="313"/>
      <c r="D4" s="314"/>
      <c r="E4" s="314"/>
      <c r="F4" s="314"/>
      <c r="G4" s="314"/>
      <c r="H4" s="315"/>
    </row>
    <row r="5" spans="1:8" x14ac:dyDescent="0.25">
      <c r="A5" s="1"/>
      <c r="B5" s="1" t="s">
        <v>81</v>
      </c>
      <c r="C5" s="40">
        <v>0.03</v>
      </c>
      <c r="D5" s="66"/>
      <c r="E5" s="67"/>
      <c r="F5" s="67"/>
      <c r="G5" s="67"/>
      <c r="H5" s="68"/>
    </row>
    <row r="6" spans="1:8" x14ac:dyDescent="0.25">
      <c r="A6" s="1"/>
      <c r="B6" s="1" t="s">
        <v>82</v>
      </c>
      <c r="C6" s="5">
        <v>0.6</v>
      </c>
      <c r="D6" s="66"/>
      <c r="E6" s="67"/>
      <c r="F6" s="67"/>
      <c r="G6" s="67"/>
      <c r="H6" s="68"/>
    </row>
    <row r="7" spans="1:8" x14ac:dyDescent="0.25">
      <c r="A7" s="1"/>
      <c r="B7" s="4" t="s">
        <v>83</v>
      </c>
      <c r="C7" s="49">
        <v>1500</v>
      </c>
      <c r="D7" s="50" t="s">
        <v>23</v>
      </c>
      <c r="E7" s="67"/>
      <c r="F7" s="67"/>
      <c r="G7" s="69"/>
      <c r="H7" s="68"/>
    </row>
    <row r="8" spans="1:8" x14ac:dyDescent="0.25">
      <c r="A8" s="1"/>
      <c r="B8" s="1" t="s">
        <v>84</v>
      </c>
      <c r="C8" s="6">
        <v>1300</v>
      </c>
      <c r="D8" s="7" t="s">
        <v>23</v>
      </c>
      <c r="E8" s="8">
        <f>+(C5*100)*C6</f>
        <v>1.7999999999999998</v>
      </c>
      <c r="F8" s="8"/>
      <c r="G8" s="52"/>
      <c r="H8" s="9">
        <f>E8*C8</f>
        <v>2339.9999999999995</v>
      </c>
    </row>
    <row r="9" spans="1:8" x14ac:dyDescent="0.25">
      <c r="A9" s="1"/>
      <c r="B9" s="1" t="s">
        <v>14</v>
      </c>
      <c r="C9" s="6">
        <v>1000</v>
      </c>
      <c r="D9" s="7" t="s">
        <v>23</v>
      </c>
      <c r="E9" s="8">
        <f>+'Hemp Grain'!E5</f>
        <v>0.48</v>
      </c>
      <c r="F9" s="8"/>
      <c r="G9" s="8"/>
      <c r="H9" s="9">
        <f>C9*E9</f>
        <v>480</v>
      </c>
    </row>
    <row r="10" spans="1:8" x14ac:dyDescent="0.25">
      <c r="A10" s="20"/>
      <c r="B10" s="128" t="s">
        <v>24</v>
      </c>
      <c r="C10" s="124">
        <v>1</v>
      </c>
      <c r="D10" s="125" t="s">
        <v>25</v>
      </c>
      <c r="E10" s="126">
        <v>0</v>
      </c>
      <c r="F10" s="126"/>
      <c r="G10" s="126"/>
      <c r="H10" s="127">
        <f>E10*C10</f>
        <v>0</v>
      </c>
    </row>
    <row r="11" spans="1:8" x14ac:dyDescent="0.25">
      <c r="A11" s="58" t="s">
        <v>26</v>
      </c>
      <c r="B11" s="60"/>
      <c r="C11" s="61"/>
      <c r="D11" s="61"/>
      <c r="E11" s="62"/>
      <c r="F11" s="62"/>
      <c r="G11" s="62"/>
      <c r="H11" s="62">
        <f>SUM(H8:H10)</f>
        <v>2819.9999999999995</v>
      </c>
    </row>
    <row r="12" spans="1:8" x14ac:dyDescent="0.25">
      <c r="A12" s="1"/>
      <c r="B12" s="1"/>
      <c r="C12" s="7"/>
      <c r="D12" s="7"/>
      <c r="E12" s="7"/>
      <c r="F12" s="7"/>
      <c r="G12" s="7"/>
      <c r="H12" s="7"/>
    </row>
    <row r="13" spans="1:8" x14ac:dyDescent="0.25">
      <c r="A13" s="63" t="s">
        <v>27</v>
      </c>
      <c r="B13" s="64"/>
      <c r="C13" s="316"/>
      <c r="D13" s="317"/>
      <c r="E13" s="317"/>
      <c r="F13" s="317"/>
      <c r="G13" s="317"/>
      <c r="H13" s="318"/>
    </row>
    <row r="14" spans="1:8" x14ac:dyDescent="0.25">
      <c r="A14" s="1"/>
      <c r="B14" s="1" t="s">
        <v>28</v>
      </c>
      <c r="C14" s="10">
        <v>30</v>
      </c>
      <c r="D14" s="7" t="s">
        <v>23</v>
      </c>
      <c r="E14" s="11">
        <v>2</v>
      </c>
      <c r="F14" s="11"/>
      <c r="G14" s="11"/>
      <c r="H14" s="9">
        <f t="shared" ref="H14:H27" si="0">C14*E14</f>
        <v>60</v>
      </c>
    </row>
    <row r="15" spans="1:8" x14ac:dyDescent="0.25">
      <c r="A15" s="1"/>
      <c r="B15" s="1" t="s">
        <v>29</v>
      </c>
      <c r="C15" s="12">
        <v>150</v>
      </c>
      <c r="D15" s="7" t="s">
        <v>30</v>
      </c>
      <c r="E15" s="11">
        <v>0.4</v>
      </c>
      <c r="F15" s="11"/>
      <c r="G15" s="11"/>
      <c r="H15" s="9">
        <f t="shared" si="0"/>
        <v>60</v>
      </c>
    </row>
    <row r="16" spans="1:8" x14ac:dyDescent="0.25">
      <c r="A16" s="1"/>
      <c r="B16" s="1" t="s">
        <v>31</v>
      </c>
      <c r="C16" s="13">
        <v>30</v>
      </c>
      <c r="D16" s="7" t="s">
        <v>30</v>
      </c>
      <c r="E16" s="11">
        <v>0.3</v>
      </c>
      <c r="F16" s="11"/>
      <c r="G16" s="11"/>
      <c r="H16" s="9">
        <f t="shared" si="0"/>
        <v>9</v>
      </c>
    </row>
    <row r="17" spans="1:8" x14ac:dyDescent="0.25">
      <c r="A17" s="1"/>
      <c r="B17" s="1" t="s">
        <v>32</v>
      </c>
      <c r="C17" s="13">
        <v>45</v>
      </c>
      <c r="D17" s="7" t="s">
        <v>30</v>
      </c>
      <c r="E17" s="11">
        <v>0.3</v>
      </c>
      <c r="F17" s="11"/>
      <c r="G17" s="11"/>
      <c r="H17" s="9">
        <f t="shared" si="0"/>
        <v>13.5</v>
      </c>
    </row>
    <row r="18" spans="1:8" x14ac:dyDescent="0.25">
      <c r="A18" s="1"/>
      <c r="B18" s="1" t="s">
        <v>33</v>
      </c>
      <c r="C18" s="14">
        <v>0.3</v>
      </c>
      <c r="D18" s="7" t="s">
        <v>34</v>
      </c>
      <c r="E18" s="11">
        <v>20</v>
      </c>
      <c r="F18" s="11"/>
      <c r="G18" s="11"/>
      <c r="H18" s="9">
        <f t="shared" si="0"/>
        <v>6</v>
      </c>
    </row>
    <row r="19" spans="1:8" x14ac:dyDescent="0.25">
      <c r="A19" s="1"/>
      <c r="B19" s="1" t="s">
        <v>35</v>
      </c>
      <c r="C19" s="12">
        <v>1</v>
      </c>
      <c r="D19" s="7" t="s">
        <v>25</v>
      </c>
      <c r="E19" s="16">
        <v>0</v>
      </c>
      <c r="F19" s="16"/>
      <c r="G19" s="16"/>
      <c r="H19" s="9">
        <f t="shared" si="0"/>
        <v>0</v>
      </c>
    </row>
    <row r="20" spans="1:8" x14ac:dyDescent="0.25">
      <c r="A20" s="1"/>
      <c r="B20" s="1" t="s">
        <v>36</v>
      </c>
      <c r="C20" s="12">
        <v>1</v>
      </c>
      <c r="D20" s="7" t="s">
        <v>37</v>
      </c>
      <c r="E20" s="16">
        <v>7</v>
      </c>
      <c r="F20" s="16"/>
      <c r="G20" s="16"/>
      <c r="H20" s="9">
        <f t="shared" si="0"/>
        <v>7</v>
      </c>
    </row>
    <row r="21" spans="1:8" x14ac:dyDescent="0.25">
      <c r="A21" s="1"/>
      <c r="B21" s="56" t="s">
        <v>85</v>
      </c>
      <c r="C21" s="15">
        <v>1</v>
      </c>
      <c r="D21" s="7" t="s">
        <v>25</v>
      </c>
      <c r="E21" s="16">
        <v>10.5</v>
      </c>
      <c r="F21" s="16"/>
      <c r="G21" s="16"/>
      <c r="H21" s="9">
        <f t="shared" si="0"/>
        <v>10.5</v>
      </c>
    </row>
    <row r="22" spans="1:8" x14ac:dyDescent="0.25">
      <c r="A22" s="1"/>
      <c r="B22" s="56" t="s">
        <v>86</v>
      </c>
      <c r="C22" s="15">
        <v>1</v>
      </c>
      <c r="D22" s="7" t="s">
        <v>25</v>
      </c>
      <c r="E22" s="16">
        <v>0</v>
      </c>
      <c r="F22" s="16"/>
      <c r="G22" s="16"/>
      <c r="H22" s="9">
        <f t="shared" si="0"/>
        <v>0</v>
      </c>
    </row>
    <row r="23" spans="1:8" x14ac:dyDescent="0.25">
      <c r="A23" s="1"/>
      <c r="B23" s="56" t="s">
        <v>87</v>
      </c>
      <c r="C23" s="15">
        <v>5</v>
      </c>
      <c r="D23" s="7" t="s">
        <v>25</v>
      </c>
      <c r="E23" s="16">
        <v>35</v>
      </c>
      <c r="F23" s="16"/>
      <c r="G23" s="16"/>
      <c r="H23" s="9">
        <f t="shared" si="0"/>
        <v>175</v>
      </c>
    </row>
    <row r="24" spans="1:8" x14ac:dyDescent="0.25">
      <c r="A24" s="1"/>
      <c r="B24" s="56" t="s">
        <v>88</v>
      </c>
      <c r="C24" s="122">
        <f>$C$9/44</f>
        <v>22.727272727272727</v>
      </c>
      <c r="D24" s="7" t="s">
        <v>39</v>
      </c>
      <c r="E24" s="47">
        <v>0.31</v>
      </c>
      <c r="F24" s="47"/>
      <c r="G24" s="54"/>
      <c r="H24" s="9">
        <f>E24*C24</f>
        <v>7.045454545454545</v>
      </c>
    </row>
    <row r="25" spans="1:8" x14ac:dyDescent="0.25">
      <c r="A25" s="1"/>
      <c r="B25" s="56" t="s">
        <v>89</v>
      </c>
      <c r="C25" s="121">
        <v>30</v>
      </c>
      <c r="D25" s="7" t="s">
        <v>76</v>
      </c>
      <c r="E25" s="47">
        <v>1.5</v>
      </c>
      <c r="F25" s="18"/>
      <c r="G25" s="54"/>
      <c r="H25" s="9">
        <f>E25*C25</f>
        <v>45</v>
      </c>
    </row>
    <row r="26" spans="1:8" x14ac:dyDescent="0.25">
      <c r="A26" s="1"/>
      <c r="B26" s="1" t="s">
        <v>40</v>
      </c>
      <c r="C26" s="15">
        <v>1</v>
      </c>
      <c r="D26" s="7" t="s">
        <v>25</v>
      </c>
      <c r="E26" s="11">
        <v>0</v>
      </c>
      <c r="F26" s="11"/>
      <c r="G26" s="11"/>
      <c r="H26" s="9">
        <f t="shared" si="0"/>
        <v>0</v>
      </c>
    </row>
    <row r="27" spans="1:8" x14ac:dyDescent="0.25">
      <c r="A27" s="1"/>
      <c r="B27" s="1" t="s">
        <v>41</v>
      </c>
      <c r="C27" s="15">
        <v>1</v>
      </c>
      <c r="D27" s="7" t="s">
        <v>25</v>
      </c>
      <c r="E27" s="11">
        <v>300</v>
      </c>
      <c r="F27" s="11"/>
      <c r="G27" s="11"/>
      <c r="H27" s="9">
        <f t="shared" si="0"/>
        <v>300</v>
      </c>
    </row>
    <row r="28" spans="1:8" x14ac:dyDescent="0.25">
      <c r="A28" s="1"/>
      <c r="B28" s="1" t="s">
        <v>90</v>
      </c>
      <c r="C28" s="15"/>
      <c r="D28" s="7"/>
      <c r="E28" s="11">
        <v>0</v>
      </c>
      <c r="F28" s="11"/>
      <c r="G28" s="11"/>
      <c r="H28" s="9">
        <f>E28*C28</f>
        <v>0</v>
      </c>
    </row>
    <row r="29" spans="1:8" x14ac:dyDescent="0.25">
      <c r="A29" s="1"/>
      <c r="B29" s="1" t="s">
        <v>91</v>
      </c>
      <c r="C29" s="17">
        <f>C9</f>
        <v>1000</v>
      </c>
      <c r="D29" s="7" t="s">
        <v>23</v>
      </c>
      <c r="E29" s="51">
        <v>1E-3</v>
      </c>
      <c r="F29" s="11" t="s">
        <v>43</v>
      </c>
      <c r="G29" s="48">
        <v>5</v>
      </c>
      <c r="H29" s="9">
        <f>G29*E29*C29</f>
        <v>5</v>
      </c>
    </row>
    <row r="30" spans="1:8" x14ac:dyDescent="0.25">
      <c r="A30" s="1"/>
      <c r="B30" s="1" t="s">
        <v>24</v>
      </c>
      <c r="C30" s="15">
        <v>1</v>
      </c>
      <c r="D30" s="7" t="s">
        <v>25</v>
      </c>
      <c r="E30" s="11">
        <v>0</v>
      </c>
      <c r="F30" s="11"/>
      <c r="G30" s="11"/>
      <c r="H30" s="9">
        <f>E30*C30</f>
        <v>0</v>
      </c>
    </row>
    <row r="31" spans="1:8" x14ac:dyDescent="0.25">
      <c r="A31" s="1"/>
      <c r="B31" s="1" t="s">
        <v>44</v>
      </c>
      <c r="C31" s="17">
        <v>1</v>
      </c>
      <c r="D31" s="7" t="s">
        <v>92</v>
      </c>
      <c r="E31" s="11">
        <v>400</v>
      </c>
      <c r="F31" s="11" t="s">
        <v>93</v>
      </c>
      <c r="G31" s="48">
        <v>20</v>
      </c>
      <c r="H31" s="9">
        <f>E31/G31</f>
        <v>20</v>
      </c>
    </row>
    <row r="32" spans="1:8" x14ac:dyDescent="0.25">
      <c r="A32" s="1"/>
      <c r="B32" s="1" t="s">
        <v>94</v>
      </c>
      <c r="C32" s="17">
        <v>3</v>
      </c>
      <c r="D32" s="7" t="s">
        <v>95</v>
      </c>
      <c r="E32" s="11">
        <v>60</v>
      </c>
      <c r="F32" s="11" t="s">
        <v>192</v>
      </c>
      <c r="G32" s="48">
        <v>1</v>
      </c>
      <c r="H32" s="9">
        <f>(C32*E32)/G32</f>
        <v>180</v>
      </c>
    </row>
    <row r="33" spans="1:8" x14ac:dyDescent="0.25">
      <c r="A33" s="1"/>
      <c r="B33" s="1" t="s">
        <v>49</v>
      </c>
      <c r="C33" s="9">
        <f>SUM(H14:H32)+SUM(H34:H37)</f>
        <v>898.0454545454545</v>
      </c>
      <c r="D33" s="7" t="s">
        <v>50</v>
      </c>
      <c r="E33" s="19">
        <v>0.06</v>
      </c>
      <c r="F33" s="19" t="s">
        <v>51</v>
      </c>
      <c r="G33" s="14">
        <v>6</v>
      </c>
      <c r="H33" s="9">
        <f>E33*C33*(G33/12)</f>
        <v>26.941363636363633</v>
      </c>
    </row>
    <row r="34" spans="1:8" s="234" customFormat="1" x14ac:dyDescent="0.25">
      <c r="A34" s="1"/>
      <c r="B34" s="1" t="s">
        <v>47</v>
      </c>
      <c r="C34" s="244">
        <v>1</v>
      </c>
      <c r="D34" s="7" t="s">
        <v>25</v>
      </c>
      <c r="E34" s="11">
        <v>0</v>
      </c>
      <c r="F34" s="19"/>
      <c r="G34" s="14"/>
      <c r="H34" s="9">
        <f>E34*C34</f>
        <v>0</v>
      </c>
    </row>
    <row r="35" spans="1:8" s="234" customFormat="1" x14ac:dyDescent="0.25">
      <c r="A35" s="1"/>
      <c r="B35" s="1" t="s">
        <v>48</v>
      </c>
      <c r="C35" s="244">
        <v>1</v>
      </c>
      <c r="D35" s="7" t="s">
        <v>25</v>
      </c>
      <c r="E35" s="11">
        <v>0</v>
      </c>
      <c r="F35" s="19"/>
      <c r="G35" s="14"/>
      <c r="H35" s="9">
        <f>E35*C35</f>
        <v>0</v>
      </c>
    </row>
    <row r="36" spans="1:8" x14ac:dyDescent="0.25">
      <c r="A36" s="1"/>
      <c r="B36" s="1" t="s">
        <v>52</v>
      </c>
      <c r="C36" s="15">
        <v>1</v>
      </c>
      <c r="D36" s="7" t="s">
        <v>25</v>
      </c>
      <c r="E36" s="11">
        <v>0</v>
      </c>
      <c r="F36" s="11"/>
      <c r="G36" s="11"/>
      <c r="H36" s="9">
        <f>E36*C36</f>
        <v>0</v>
      </c>
    </row>
    <row r="37" spans="1:8" x14ac:dyDescent="0.25">
      <c r="A37" s="1"/>
      <c r="B37" s="1" t="s">
        <v>53</v>
      </c>
      <c r="C37" s="7">
        <v>1</v>
      </c>
      <c r="D37" s="7" t="s">
        <v>25</v>
      </c>
      <c r="E37" s="11">
        <v>0</v>
      </c>
      <c r="F37" s="11"/>
      <c r="G37" s="11"/>
      <c r="H37" s="9">
        <f>E37*C37</f>
        <v>0</v>
      </c>
    </row>
    <row r="38" spans="1:8" x14ac:dyDescent="0.25">
      <c r="A38" s="77" t="s">
        <v>54</v>
      </c>
      <c r="B38" s="74"/>
      <c r="C38" s="75"/>
      <c r="D38" s="75"/>
      <c r="E38" s="75"/>
      <c r="F38" s="75"/>
      <c r="G38" s="75"/>
      <c r="H38" s="78">
        <f>SUM(H14:H37)</f>
        <v>924.98681818181808</v>
      </c>
    </row>
    <row r="39" spans="1:8" x14ac:dyDescent="0.25">
      <c r="A39" s="187"/>
      <c r="B39" s="160"/>
      <c r="C39" s="161"/>
      <c r="D39" s="161"/>
      <c r="E39" s="161"/>
      <c r="F39" s="161"/>
      <c r="G39" s="161"/>
      <c r="H39" s="188"/>
    </row>
    <row r="40" spans="1:8" x14ac:dyDescent="0.25">
      <c r="A40" s="277" t="s">
        <v>96</v>
      </c>
      <c r="B40" s="269"/>
      <c r="C40" s="184" t="s">
        <v>17</v>
      </c>
      <c r="D40" s="184" t="s">
        <v>97</v>
      </c>
      <c r="E40" s="184" t="s">
        <v>19</v>
      </c>
      <c r="F40" s="145"/>
      <c r="G40" s="145"/>
      <c r="H40" s="270"/>
    </row>
    <row r="41" spans="1:8" x14ac:dyDescent="0.25">
      <c r="A41" s="183"/>
      <c r="B41" s="154" t="s">
        <v>56</v>
      </c>
      <c r="C41" s="177">
        <v>1</v>
      </c>
      <c r="D41" s="154" t="s">
        <v>25</v>
      </c>
      <c r="E41" s="155">
        <v>32.21</v>
      </c>
      <c r="F41" s="152"/>
      <c r="G41" s="156"/>
      <c r="H41" s="157">
        <f>E41*C41</f>
        <v>32.21</v>
      </c>
    </row>
    <row r="42" spans="1:8" x14ac:dyDescent="0.25">
      <c r="A42" s="183"/>
      <c r="B42" s="154" t="s">
        <v>57</v>
      </c>
      <c r="C42" s="177">
        <v>1</v>
      </c>
      <c r="D42" s="154" t="s">
        <v>25</v>
      </c>
      <c r="E42" s="155">
        <v>21.43</v>
      </c>
      <c r="F42" s="152"/>
      <c r="G42" s="156"/>
      <c r="H42" s="157">
        <f>E42*C42</f>
        <v>21.43</v>
      </c>
    </row>
    <row r="43" spans="1:8" x14ac:dyDescent="0.25">
      <c r="A43" s="183"/>
      <c r="B43" s="154" t="s">
        <v>58</v>
      </c>
      <c r="C43" s="15">
        <v>1</v>
      </c>
      <c r="D43" s="182" t="s">
        <v>25</v>
      </c>
      <c r="E43" s="185">
        <v>5.76</v>
      </c>
      <c r="F43" s="7"/>
      <c r="G43" s="7"/>
      <c r="H43" s="157">
        <f>E43*C43</f>
        <v>5.76</v>
      </c>
    </row>
    <row r="44" spans="1:8" x14ac:dyDescent="0.25">
      <c r="A44" s="183"/>
      <c r="B44" s="154" t="s">
        <v>59</v>
      </c>
      <c r="C44" s="15">
        <v>1</v>
      </c>
      <c r="D44" s="182" t="s">
        <v>25</v>
      </c>
      <c r="E44" s="99">
        <f>194.52/5</f>
        <v>38.904000000000003</v>
      </c>
      <c r="F44" s="7"/>
      <c r="G44" s="7"/>
      <c r="H44" s="157">
        <f>E44*C44</f>
        <v>38.904000000000003</v>
      </c>
    </row>
    <row r="45" spans="1:8" x14ac:dyDescent="0.25">
      <c r="A45" s="183"/>
      <c r="B45" s="154" t="s">
        <v>60</v>
      </c>
      <c r="C45" s="15">
        <v>1</v>
      </c>
      <c r="D45" s="182" t="s">
        <v>61</v>
      </c>
      <c r="E45" s="186">
        <v>4.76</v>
      </c>
      <c r="F45" s="7"/>
      <c r="G45" s="182"/>
      <c r="H45" s="157">
        <f>+E45*C45</f>
        <v>4.76</v>
      </c>
    </row>
    <row r="46" spans="1:8" x14ac:dyDescent="0.25">
      <c r="A46" s="183"/>
      <c r="B46" s="154" t="s">
        <v>98</v>
      </c>
      <c r="C46" s="7">
        <v>1</v>
      </c>
      <c r="D46" s="182" t="s">
        <v>25</v>
      </c>
      <c r="E46" s="191">
        <v>1.1299999999999999</v>
      </c>
      <c r="F46" s="7"/>
      <c r="G46" s="183"/>
      <c r="H46" s="192">
        <f>+E46*C46</f>
        <v>1.1299999999999999</v>
      </c>
    </row>
    <row r="47" spans="1:8" x14ac:dyDescent="0.25">
      <c r="A47" s="183"/>
      <c r="B47" s="154" t="s">
        <v>62</v>
      </c>
      <c r="C47" s="15">
        <v>1</v>
      </c>
      <c r="D47" s="182" t="s">
        <v>25</v>
      </c>
      <c r="E47" s="186">
        <v>1.1299999999999999</v>
      </c>
      <c r="F47" s="182"/>
      <c r="G47" s="182"/>
      <c r="H47" s="192">
        <f>+E47*C47</f>
        <v>1.1299999999999999</v>
      </c>
    </row>
    <row r="48" spans="1:8" x14ac:dyDescent="0.25">
      <c r="A48" s="136"/>
      <c r="B48" s="56" t="s">
        <v>63</v>
      </c>
      <c r="C48" s="15">
        <v>1</v>
      </c>
      <c r="D48" s="7" t="s">
        <v>25</v>
      </c>
      <c r="E48" s="16">
        <v>10.5</v>
      </c>
      <c r="F48" s="16"/>
      <c r="G48" s="16"/>
      <c r="H48" s="99">
        <f>C48*E48</f>
        <v>10.5</v>
      </c>
    </row>
    <row r="49" spans="1:8" x14ac:dyDescent="0.25">
      <c r="A49" s="183"/>
      <c r="B49" s="154" t="s">
        <v>64</v>
      </c>
      <c r="C49" s="15">
        <v>1</v>
      </c>
      <c r="D49" s="182" t="s">
        <v>25</v>
      </c>
      <c r="E49" s="191">
        <v>1</v>
      </c>
      <c r="F49" s="182"/>
      <c r="G49" s="182"/>
      <c r="H49" s="192">
        <f>+E49*C49</f>
        <v>1</v>
      </c>
    </row>
    <row r="50" spans="1:8" x14ac:dyDescent="0.25">
      <c r="A50" s="158"/>
      <c r="B50" s="154" t="s">
        <v>65</v>
      </c>
      <c r="C50" s="177">
        <v>1</v>
      </c>
      <c r="D50" s="154" t="s">
        <v>25</v>
      </c>
      <c r="E50" s="155">
        <v>5</v>
      </c>
      <c r="F50" s="158"/>
      <c r="G50" s="159"/>
      <c r="H50" s="157">
        <f>E50*C50</f>
        <v>5</v>
      </c>
    </row>
    <row r="51" spans="1:8" x14ac:dyDescent="0.25">
      <c r="A51" s="158"/>
      <c r="B51" s="154" t="s">
        <v>66</v>
      </c>
      <c r="C51" s="177">
        <v>1</v>
      </c>
      <c r="D51" s="154" t="s">
        <v>25</v>
      </c>
      <c r="E51" s="155">
        <v>0</v>
      </c>
      <c r="F51" s="158"/>
      <c r="G51" s="159"/>
      <c r="H51" s="157">
        <f>E51*C51</f>
        <v>0</v>
      </c>
    </row>
    <row r="52" spans="1:8" x14ac:dyDescent="0.25">
      <c r="A52" s="138"/>
      <c r="B52" s="147" t="s">
        <v>67</v>
      </c>
      <c r="C52" s="177">
        <v>0</v>
      </c>
      <c r="D52" s="147" t="s">
        <v>68</v>
      </c>
      <c r="E52" s="167">
        <v>0</v>
      </c>
      <c r="F52" s="138"/>
      <c r="G52" s="138"/>
      <c r="H52" s="157">
        <f>E52*C52</f>
        <v>0</v>
      </c>
    </row>
    <row r="53" spans="1:8" x14ac:dyDescent="0.25">
      <c r="A53" s="136"/>
      <c r="B53" s="147" t="s">
        <v>70</v>
      </c>
      <c r="C53" s="177">
        <v>1</v>
      </c>
      <c r="D53" s="147" t="s">
        <v>25</v>
      </c>
      <c r="E53" s="167">
        <v>0</v>
      </c>
      <c r="F53" s="138"/>
      <c r="G53" s="139"/>
      <c r="H53" s="157">
        <f>E53*C53</f>
        <v>0</v>
      </c>
    </row>
    <row r="54" spans="1:8" ht="15" customHeight="1" x14ac:dyDescent="0.25">
      <c r="A54" s="291" t="s">
        <v>71</v>
      </c>
      <c r="B54" s="319"/>
      <c r="C54" s="319"/>
      <c r="D54" s="319"/>
      <c r="E54" s="319"/>
      <c r="F54" s="319"/>
      <c r="G54" s="320"/>
      <c r="H54" s="206">
        <f>SUM(H41:H53)</f>
        <v>121.824</v>
      </c>
    </row>
    <row r="55" spans="1:8" ht="15" customHeight="1" x14ac:dyDescent="0.25">
      <c r="A55" s="136"/>
      <c r="B55" s="193"/>
      <c r="C55" s="177"/>
      <c r="D55" s="194"/>
      <c r="E55" s="195"/>
      <c r="F55" s="139"/>
      <c r="G55" s="139"/>
      <c r="H55" s="189"/>
    </row>
    <row r="56" spans="1:8" x14ac:dyDescent="0.25">
      <c r="A56" s="291" t="s">
        <v>72</v>
      </c>
      <c r="B56" s="319"/>
      <c r="C56" s="319"/>
      <c r="D56" s="319"/>
      <c r="E56" s="319"/>
      <c r="F56" s="319"/>
      <c r="G56" s="320"/>
      <c r="H56" s="207">
        <f>H11-H38-H54</f>
        <v>1773.1891818181814</v>
      </c>
    </row>
    <row r="57" spans="1:8" x14ac:dyDescent="0.25">
      <c r="A57" s="302" t="s">
        <v>73</v>
      </c>
      <c r="B57" s="303"/>
      <c r="C57" s="303"/>
      <c r="D57" s="303"/>
      <c r="E57" s="303"/>
      <c r="F57" s="303"/>
      <c r="G57" s="303"/>
      <c r="H57" s="303"/>
    </row>
  </sheetData>
  <mergeCells count="6">
    <mergeCell ref="A57:H57"/>
    <mergeCell ref="A1:H1"/>
    <mergeCell ref="C4:H4"/>
    <mergeCell ref="C13:H13"/>
    <mergeCell ref="A54:G54"/>
    <mergeCell ref="A56:G56"/>
  </mergeCells>
  <pageMargins left="0.7" right="0.7" top="0.75" bottom="0.75" header="0.3" footer="0.3"/>
  <pageSetup scale="81"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26" sqref="F26"/>
    </sheetView>
  </sheetViews>
  <sheetFormatPr defaultColWidth="9.140625" defaultRowHeight="15" x14ac:dyDescent="0.25"/>
  <cols>
    <col min="1" max="1" width="9.140625" style="107"/>
    <col min="2" max="2" width="24.7109375" style="107" bestFit="1" customWidth="1"/>
    <col min="3" max="3" width="9.5703125" style="107" bestFit="1" customWidth="1"/>
    <col min="4" max="7" width="9.140625" style="107"/>
    <col min="8" max="8" width="13.7109375" style="107" bestFit="1" customWidth="1"/>
    <col min="9" max="9" width="9.140625" style="107"/>
    <col min="10" max="10" width="8.85546875" style="107" customWidth="1"/>
    <col min="11" max="16384" width="9.140625" style="107"/>
  </cols>
  <sheetData>
    <row r="1" spans="1:8" ht="15.75" x14ac:dyDescent="0.25">
      <c r="A1" s="321" t="s">
        <v>99</v>
      </c>
      <c r="B1" s="322"/>
      <c r="C1" s="322"/>
      <c r="D1" s="322"/>
      <c r="E1" s="322"/>
      <c r="F1" s="322"/>
      <c r="G1" s="322"/>
      <c r="H1" s="323"/>
    </row>
    <row r="2" spans="1:8" ht="14.45" customHeight="1" x14ac:dyDescent="0.25">
      <c r="A2" s="1"/>
      <c r="B2" s="1"/>
      <c r="C2" s="1"/>
      <c r="D2" s="1"/>
      <c r="E2" s="1"/>
      <c r="F2" s="1"/>
      <c r="G2" s="1"/>
      <c r="H2" s="1"/>
    </row>
    <row r="3" spans="1:8" ht="14.45" customHeight="1" x14ac:dyDescent="0.25">
      <c r="A3" s="2"/>
      <c r="B3" s="2"/>
      <c r="C3" s="3" t="s">
        <v>17</v>
      </c>
      <c r="D3" s="3" t="s">
        <v>18</v>
      </c>
      <c r="E3" s="3" t="s">
        <v>19</v>
      </c>
      <c r="F3" s="3"/>
      <c r="G3" s="3"/>
      <c r="H3" s="3" t="s">
        <v>20</v>
      </c>
    </row>
    <row r="4" spans="1:8" ht="14.45" customHeight="1" x14ac:dyDescent="0.25">
      <c r="A4" s="79" t="s">
        <v>21</v>
      </c>
      <c r="B4" s="80"/>
      <c r="C4" s="324"/>
      <c r="D4" s="325"/>
      <c r="E4" s="325"/>
      <c r="F4" s="325"/>
      <c r="G4" s="325"/>
      <c r="H4" s="326"/>
    </row>
    <row r="5" spans="1:8" ht="14.45" customHeight="1" x14ac:dyDescent="0.25">
      <c r="A5" s="1"/>
      <c r="B5" s="1" t="s">
        <v>81</v>
      </c>
      <c r="C5" s="40">
        <v>3.5000000000000003E-2</v>
      </c>
      <c r="D5" s="66"/>
      <c r="E5" s="67"/>
      <c r="F5" s="67"/>
      <c r="G5" s="67"/>
      <c r="H5" s="68"/>
    </row>
    <row r="6" spans="1:8" ht="14.45" customHeight="1" x14ac:dyDescent="0.25">
      <c r="A6" s="1"/>
      <c r="B6" s="1" t="s">
        <v>82</v>
      </c>
      <c r="C6" s="5">
        <v>0.6</v>
      </c>
      <c r="D6" s="66"/>
      <c r="E6" s="67"/>
      <c r="F6" s="67"/>
      <c r="G6" s="67"/>
      <c r="H6" s="68"/>
    </row>
    <row r="7" spans="1:8" ht="14.45" customHeight="1" x14ac:dyDescent="0.25">
      <c r="A7" s="1"/>
      <c r="B7" s="1" t="s">
        <v>84</v>
      </c>
      <c r="C7" s="6">
        <v>1500</v>
      </c>
      <c r="D7" s="7" t="s">
        <v>23</v>
      </c>
      <c r="E7" s="8">
        <f>+(C5*100)*C6</f>
        <v>2.1</v>
      </c>
      <c r="F7" s="8"/>
      <c r="G7" s="8"/>
      <c r="H7" s="99">
        <f>E7*C7</f>
        <v>3150</v>
      </c>
    </row>
    <row r="8" spans="1:8" ht="14.45" customHeight="1" x14ac:dyDescent="0.25">
      <c r="A8" s="20"/>
      <c r="B8" s="128" t="s">
        <v>24</v>
      </c>
      <c r="C8" s="124">
        <v>1</v>
      </c>
      <c r="D8" s="125" t="s">
        <v>25</v>
      </c>
      <c r="E8" s="126">
        <v>0</v>
      </c>
      <c r="F8" s="126"/>
      <c r="G8" s="126"/>
      <c r="H8" s="127">
        <f>E8*C8</f>
        <v>0</v>
      </c>
    </row>
    <row r="9" spans="1:8" x14ac:dyDescent="0.25">
      <c r="A9" s="79" t="s">
        <v>26</v>
      </c>
      <c r="B9" s="81"/>
      <c r="C9" s="75"/>
      <c r="D9" s="75"/>
      <c r="E9" s="76"/>
      <c r="F9" s="76"/>
      <c r="G9" s="76"/>
      <c r="H9" s="76">
        <f>+H7+H8</f>
        <v>3150</v>
      </c>
    </row>
    <row r="10" spans="1:8" x14ac:dyDescent="0.25">
      <c r="A10" s="1"/>
      <c r="B10" s="1"/>
      <c r="C10" s="7"/>
      <c r="D10" s="7"/>
      <c r="E10" s="7"/>
      <c r="F10" s="7"/>
      <c r="G10" s="7"/>
      <c r="H10" s="7"/>
    </row>
    <row r="11" spans="1:8" x14ac:dyDescent="0.25">
      <c r="A11" s="73" t="s">
        <v>27</v>
      </c>
      <c r="B11" s="74"/>
      <c r="C11" s="327"/>
      <c r="D11" s="328"/>
      <c r="E11" s="328"/>
      <c r="F11" s="328"/>
      <c r="G11" s="328"/>
      <c r="H11" s="329"/>
    </row>
    <row r="12" spans="1:8" x14ac:dyDescent="0.25">
      <c r="A12" s="1"/>
      <c r="B12" s="1" t="s">
        <v>28</v>
      </c>
      <c r="C12" s="10">
        <v>30</v>
      </c>
      <c r="D12" s="7" t="s">
        <v>23</v>
      </c>
      <c r="E12" s="11">
        <v>2</v>
      </c>
      <c r="F12" s="11"/>
      <c r="G12" s="11"/>
      <c r="H12" s="9">
        <f t="shared" ref="H12:H21" si="0">C12*E12</f>
        <v>60</v>
      </c>
    </row>
    <row r="13" spans="1:8" x14ac:dyDescent="0.25">
      <c r="A13" s="1"/>
      <c r="B13" s="1" t="s">
        <v>29</v>
      </c>
      <c r="C13" s="12">
        <v>150</v>
      </c>
      <c r="D13" s="7" t="s">
        <v>30</v>
      </c>
      <c r="E13" s="11">
        <v>0.4</v>
      </c>
      <c r="F13" s="11"/>
      <c r="G13" s="11"/>
      <c r="H13" s="9">
        <f t="shared" si="0"/>
        <v>60</v>
      </c>
    </row>
    <row r="14" spans="1:8" x14ac:dyDescent="0.25">
      <c r="A14" s="1"/>
      <c r="B14" s="1" t="s">
        <v>31</v>
      </c>
      <c r="C14" s="13">
        <v>30</v>
      </c>
      <c r="D14" s="7" t="s">
        <v>30</v>
      </c>
      <c r="E14" s="11">
        <v>0.3</v>
      </c>
      <c r="F14" s="11"/>
      <c r="G14" s="11"/>
      <c r="H14" s="9">
        <f t="shared" si="0"/>
        <v>9</v>
      </c>
    </row>
    <row r="15" spans="1:8" x14ac:dyDescent="0.25">
      <c r="A15" s="1"/>
      <c r="B15" s="1" t="s">
        <v>32</v>
      </c>
      <c r="C15" s="13">
        <v>45</v>
      </c>
      <c r="D15" s="7" t="s">
        <v>30</v>
      </c>
      <c r="E15" s="11">
        <v>0.3</v>
      </c>
      <c r="F15" s="11"/>
      <c r="G15" s="11"/>
      <c r="H15" s="9">
        <f t="shared" si="0"/>
        <v>13.5</v>
      </c>
    </row>
    <row r="16" spans="1:8" x14ac:dyDescent="0.25">
      <c r="A16" s="1"/>
      <c r="B16" s="1" t="s">
        <v>33</v>
      </c>
      <c r="C16" s="14">
        <v>0.3</v>
      </c>
      <c r="D16" s="7" t="s">
        <v>34</v>
      </c>
      <c r="E16" s="11">
        <v>20</v>
      </c>
      <c r="F16" s="11"/>
      <c r="G16" s="11"/>
      <c r="H16" s="9">
        <f t="shared" si="0"/>
        <v>6</v>
      </c>
    </row>
    <row r="17" spans="1:8" x14ac:dyDescent="0.25">
      <c r="A17" s="1"/>
      <c r="B17" s="1" t="s">
        <v>35</v>
      </c>
      <c r="C17" s="12">
        <v>1</v>
      </c>
      <c r="D17" s="7" t="s">
        <v>25</v>
      </c>
      <c r="E17" s="16">
        <v>0</v>
      </c>
      <c r="F17" s="16"/>
      <c r="G17" s="16"/>
      <c r="H17" s="9">
        <f t="shared" si="0"/>
        <v>0</v>
      </c>
    </row>
    <row r="18" spans="1:8" x14ac:dyDescent="0.25">
      <c r="A18" s="1"/>
      <c r="B18" s="1" t="s">
        <v>36</v>
      </c>
      <c r="C18" s="12">
        <v>1</v>
      </c>
      <c r="D18" s="7" t="s">
        <v>37</v>
      </c>
      <c r="E18" s="16">
        <v>7</v>
      </c>
      <c r="F18" s="16"/>
      <c r="G18" s="16"/>
      <c r="H18" s="9">
        <f t="shared" si="0"/>
        <v>7</v>
      </c>
    </row>
    <row r="19" spans="1:8" x14ac:dyDescent="0.25">
      <c r="A19" s="1"/>
      <c r="B19" s="56" t="s">
        <v>100</v>
      </c>
      <c r="C19" s="15">
        <v>1</v>
      </c>
      <c r="D19" s="7" t="s">
        <v>25</v>
      </c>
      <c r="E19" s="16">
        <v>36</v>
      </c>
      <c r="F19" s="16"/>
      <c r="G19" s="16"/>
      <c r="H19" s="9">
        <f t="shared" si="0"/>
        <v>36</v>
      </c>
    </row>
    <row r="20" spans="1:8" x14ac:dyDescent="0.25">
      <c r="A20" s="1"/>
      <c r="B20" s="1" t="s">
        <v>40</v>
      </c>
      <c r="C20" s="15">
        <v>1</v>
      </c>
      <c r="D20" s="7" t="s">
        <v>25</v>
      </c>
      <c r="E20" s="11">
        <v>0</v>
      </c>
      <c r="F20" s="11"/>
      <c r="G20" s="11"/>
      <c r="H20" s="9">
        <f t="shared" si="0"/>
        <v>0</v>
      </c>
    </row>
    <row r="21" spans="1:8" x14ac:dyDescent="0.25">
      <c r="A21" s="1"/>
      <c r="B21" s="1" t="s">
        <v>41</v>
      </c>
      <c r="C21" s="15">
        <v>1</v>
      </c>
      <c r="D21" s="7" t="s">
        <v>25</v>
      </c>
      <c r="E21" s="11">
        <v>300</v>
      </c>
      <c r="F21" s="11"/>
      <c r="G21" s="11"/>
      <c r="H21" s="9">
        <f t="shared" si="0"/>
        <v>300</v>
      </c>
    </row>
    <row r="22" spans="1:8" x14ac:dyDescent="0.25">
      <c r="A22" s="1"/>
      <c r="B22" s="1" t="s">
        <v>38</v>
      </c>
      <c r="C22" s="122">
        <v>30</v>
      </c>
      <c r="D22" s="7" t="s">
        <v>76</v>
      </c>
      <c r="E22" s="11">
        <v>1.5</v>
      </c>
      <c r="F22" s="11"/>
      <c r="G22" s="119"/>
      <c r="H22" s="9">
        <f>E22*C22</f>
        <v>45</v>
      </c>
    </row>
    <row r="23" spans="1:8" x14ac:dyDescent="0.25">
      <c r="A23" s="1"/>
      <c r="B23" s="1" t="s">
        <v>24</v>
      </c>
      <c r="C23" s="15">
        <v>1</v>
      </c>
      <c r="D23" s="7" t="s">
        <v>25</v>
      </c>
      <c r="E23" s="11">
        <v>0</v>
      </c>
      <c r="F23" s="11"/>
      <c r="G23" s="11"/>
      <c r="H23" s="9">
        <f>E23*C23</f>
        <v>0</v>
      </c>
    </row>
    <row r="24" spans="1:8" x14ac:dyDescent="0.25">
      <c r="A24" s="1"/>
      <c r="B24" s="1" t="s">
        <v>44</v>
      </c>
      <c r="C24" s="17">
        <v>1</v>
      </c>
      <c r="D24" s="7" t="s">
        <v>45</v>
      </c>
      <c r="E24" s="11">
        <v>400</v>
      </c>
      <c r="F24" s="11" t="s">
        <v>46</v>
      </c>
      <c r="G24" s="48">
        <v>5</v>
      </c>
      <c r="H24" s="9">
        <f>E24/G24</f>
        <v>80</v>
      </c>
    </row>
    <row r="25" spans="1:8" x14ac:dyDescent="0.25">
      <c r="A25" s="1"/>
      <c r="B25" s="1" t="s">
        <v>94</v>
      </c>
      <c r="C25" s="17">
        <v>3</v>
      </c>
      <c r="D25" s="7" t="s">
        <v>101</v>
      </c>
      <c r="E25" s="11">
        <v>60</v>
      </c>
      <c r="F25" s="11" t="s">
        <v>192</v>
      </c>
      <c r="G25" s="48">
        <v>1</v>
      </c>
      <c r="H25" s="9">
        <f>(C25*E25)/G25</f>
        <v>180</v>
      </c>
    </row>
    <row r="26" spans="1:8" x14ac:dyDescent="0.25">
      <c r="A26" s="1"/>
      <c r="B26" s="1" t="s">
        <v>49</v>
      </c>
      <c r="C26" s="9">
        <f>SUM(H12:H25)+SUM(H27:H30)</f>
        <v>796.5</v>
      </c>
      <c r="D26" s="7" t="s">
        <v>50</v>
      </c>
      <c r="E26" s="19">
        <v>0.06</v>
      </c>
      <c r="F26" s="19" t="s">
        <v>51</v>
      </c>
      <c r="G26" s="14">
        <v>6</v>
      </c>
      <c r="H26" s="9">
        <f>E26*C26*(G26/12)</f>
        <v>23.895</v>
      </c>
    </row>
    <row r="27" spans="1:8" s="234" customFormat="1" x14ac:dyDescent="0.25">
      <c r="A27" s="1"/>
      <c r="B27" s="1" t="s">
        <v>47</v>
      </c>
      <c r="C27" s="15">
        <v>1</v>
      </c>
      <c r="D27" s="7" t="s">
        <v>25</v>
      </c>
      <c r="E27" s="11">
        <v>0</v>
      </c>
      <c r="F27" s="19"/>
      <c r="G27" s="14"/>
      <c r="H27" s="9">
        <f>E27*C27</f>
        <v>0</v>
      </c>
    </row>
    <row r="28" spans="1:8" s="234" customFormat="1" x14ac:dyDescent="0.25">
      <c r="A28" s="1"/>
      <c r="B28" s="1" t="s">
        <v>48</v>
      </c>
      <c r="C28" s="15">
        <v>1</v>
      </c>
      <c r="D28" s="7" t="s">
        <v>25</v>
      </c>
      <c r="E28" s="11">
        <v>0</v>
      </c>
      <c r="F28" s="19"/>
      <c r="G28" s="14"/>
      <c r="H28" s="9">
        <f>E28*C28</f>
        <v>0</v>
      </c>
    </row>
    <row r="29" spans="1:8" x14ac:dyDescent="0.25">
      <c r="A29" s="1"/>
      <c r="B29" s="1" t="s">
        <v>102</v>
      </c>
      <c r="C29" s="15">
        <v>1</v>
      </c>
      <c r="D29" s="7" t="s">
        <v>25</v>
      </c>
      <c r="E29" s="11">
        <v>0</v>
      </c>
      <c r="F29" s="11"/>
      <c r="G29" s="11"/>
      <c r="H29" s="9">
        <f>E29*C29</f>
        <v>0</v>
      </c>
    </row>
    <row r="30" spans="1:8" x14ac:dyDescent="0.25">
      <c r="A30" s="1"/>
      <c r="B30" s="1" t="s">
        <v>53</v>
      </c>
      <c r="C30" s="7">
        <v>1</v>
      </c>
      <c r="D30" s="7" t="s">
        <v>68</v>
      </c>
      <c r="E30" s="11">
        <v>0</v>
      </c>
      <c r="F30" s="11"/>
      <c r="G30" s="11"/>
      <c r="H30" s="9">
        <f>E30*C30</f>
        <v>0</v>
      </c>
    </row>
    <row r="31" spans="1:8" x14ac:dyDescent="0.25">
      <c r="A31" s="73" t="s">
        <v>54</v>
      </c>
      <c r="B31" s="74"/>
      <c r="C31" s="75"/>
      <c r="D31" s="75"/>
      <c r="E31" s="75"/>
      <c r="F31" s="75"/>
      <c r="G31" s="75"/>
      <c r="H31" s="76">
        <f>SUM(H12:H30)</f>
        <v>820.39499999999998</v>
      </c>
    </row>
    <row r="32" spans="1:8" s="203" customFormat="1" x14ac:dyDescent="0.25">
      <c r="A32" s="1"/>
      <c r="B32" s="1"/>
      <c r="C32" s="1"/>
      <c r="D32" s="1"/>
      <c r="E32" s="1"/>
      <c r="F32" s="1"/>
      <c r="G32" s="1"/>
      <c r="H32" s="1"/>
    </row>
    <row r="33" spans="1:8" x14ac:dyDescent="0.25">
      <c r="A33" s="199" t="s">
        <v>55</v>
      </c>
      <c r="B33" s="200"/>
      <c r="C33" s="201"/>
      <c r="D33" s="200"/>
      <c r="E33" s="200"/>
      <c r="F33" s="200"/>
      <c r="G33" s="200"/>
      <c r="H33" s="202">
        <f>H9-H31</f>
        <v>2329.605</v>
      </c>
    </row>
    <row r="34" spans="1:8" s="203" customFormat="1" x14ac:dyDescent="0.25">
      <c r="A34" s="7"/>
      <c r="B34" s="7"/>
      <c r="C34" s="7"/>
      <c r="D34" s="7"/>
      <c r="E34" s="7"/>
      <c r="F34" s="7"/>
      <c r="G34" s="7"/>
      <c r="H34" s="7"/>
    </row>
    <row r="35" spans="1:8" x14ac:dyDescent="0.25">
      <c r="A35" s="260" t="s">
        <v>96</v>
      </c>
      <c r="B35" s="261"/>
      <c r="C35" s="204" t="s">
        <v>17</v>
      </c>
      <c r="D35" s="204" t="s">
        <v>97</v>
      </c>
      <c r="E35" s="204" t="s">
        <v>19</v>
      </c>
      <c r="F35" s="205"/>
      <c r="G35" s="205"/>
      <c r="H35" s="262"/>
    </row>
    <row r="36" spans="1:8" x14ac:dyDescent="0.25">
      <c r="A36" s="183"/>
      <c r="B36" s="154" t="s">
        <v>56</v>
      </c>
      <c r="C36" s="177">
        <v>1</v>
      </c>
      <c r="D36" s="154" t="s">
        <v>25</v>
      </c>
      <c r="E36" s="155">
        <v>32.21</v>
      </c>
      <c r="F36" s="152"/>
      <c r="G36" s="156"/>
      <c r="H36" s="157">
        <f>E36*C36</f>
        <v>32.21</v>
      </c>
    </row>
    <row r="37" spans="1:8" x14ac:dyDescent="0.25">
      <c r="A37" s="183"/>
      <c r="B37" s="154" t="s">
        <v>57</v>
      </c>
      <c r="C37" s="177">
        <v>1</v>
      </c>
      <c r="D37" s="154" t="s">
        <v>25</v>
      </c>
      <c r="E37" s="155">
        <v>21.43</v>
      </c>
      <c r="F37" s="152"/>
      <c r="G37" s="156"/>
      <c r="H37" s="157">
        <f>E37*C37</f>
        <v>21.43</v>
      </c>
    </row>
    <row r="38" spans="1:8" x14ac:dyDescent="0.25">
      <c r="A38" s="183"/>
      <c r="B38" s="154" t="s">
        <v>58</v>
      </c>
      <c r="C38" s="15">
        <v>1</v>
      </c>
      <c r="D38" s="182" t="s">
        <v>25</v>
      </c>
      <c r="E38" s="208">
        <v>5.76</v>
      </c>
      <c r="F38" s="7"/>
      <c r="G38" s="7"/>
      <c r="H38" s="157">
        <f>E38*C38</f>
        <v>5.76</v>
      </c>
    </row>
    <row r="39" spans="1:8" x14ac:dyDescent="0.25">
      <c r="A39" s="183"/>
      <c r="B39" s="154" t="s">
        <v>103</v>
      </c>
      <c r="C39" s="15">
        <v>4</v>
      </c>
      <c r="D39" s="182" t="s">
        <v>104</v>
      </c>
      <c r="E39" s="190">
        <v>1</v>
      </c>
      <c r="F39" s="7" t="s">
        <v>105</v>
      </c>
      <c r="G39" s="99">
        <v>54.5</v>
      </c>
      <c r="H39" s="157">
        <f>+C39*E39*G39</f>
        <v>218</v>
      </c>
    </row>
    <row r="40" spans="1:8" x14ac:dyDescent="0.25">
      <c r="A40" s="183"/>
      <c r="B40" s="154" t="s">
        <v>106</v>
      </c>
      <c r="C40" s="15">
        <v>1</v>
      </c>
      <c r="D40" s="182" t="s">
        <v>107</v>
      </c>
      <c r="E40" s="186">
        <v>11.65</v>
      </c>
      <c r="F40" s="182"/>
      <c r="G40" s="182"/>
      <c r="H40" s="157">
        <f>+E40*C40</f>
        <v>11.65</v>
      </c>
    </row>
    <row r="41" spans="1:8" x14ac:dyDescent="0.25">
      <c r="A41" s="1"/>
      <c r="B41" s="56" t="s">
        <v>63</v>
      </c>
      <c r="C41" s="15">
        <v>1</v>
      </c>
      <c r="D41" s="7" t="s">
        <v>25</v>
      </c>
      <c r="E41" s="16">
        <v>10.5</v>
      </c>
      <c r="F41" s="16"/>
      <c r="G41" s="16"/>
      <c r="H41" s="9">
        <f>C41*E41</f>
        <v>10.5</v>
      </c>
    </row>
    <row r="42" spans="1:8" x14ac:dyDescent="0.25">
      <c r="A42" s="183"/>
      <c r="B42" s="154" t="s">
        <v>64</v>
      </c>
      <c r="C42" s="15">
        <v>1</v>
      </c>
      <c r="D42" s="182" t="s">
        <v>25</v>
      </c>
      <c r="E42" s="191">
        <v>1</v>
      </c>
      <c r="F42" s="182"/>
      <c r="G42" s="182"/>
      <c r="H42" s="192">
        <f>+E42*C42</f>
        <v>1</v>
      </c>
    </row>
    <row r="43" spans="1:8" x14ac:dyDescent="0.25">
      <c r="A43" s="158"/>
      <c r="B43" s="154" t="s">
        <v>65</v>
      </c>
      <c r="C43" s="177">
        <v>1</v>
      </c>
      <c r="D43" s="154" t="s">
        <v>25</v>
      </c>
      <c r="E43" s="155">
        <v>5</v>
      </c>
      <c r="F43" s="158"/>
      <c r="G43" s="159"/>
      <c r="H43" s="157">
        <f>E43*C43</f>
        <v>5</v>
      </c>
    </row>
    <row r="44" spans="1:8" x14ac:dyDescent="0.25">
      <c r="A44" s="158"/>
      <c r="B44" s="154" t="s">
        <v>66</v>
      </c>
      <c r="C44" s="177">
        <v>1</v>
      </c>
      <c r="D44" s="154" t="s">
        <v>25</v>
      </c>
      <c r="E44" s="155">
        <v>0</v>
      </c>
      <c r="F44" s="158"/>
      <c r="G44" s="159"/>
      <c r="H44" s="157">
        <f>E44*C44</f>
        <v>0</v>
      </c>
    </row>
    <row r="45" spans="1:8" s="203" customFormat="1" x14ac:dyDescent="0.25">
      <c r="A45" s="138"/>
      <c r="B45" s="147" t="s">
        <v>67</v>
      </c>
      <c r="C45" s="177">
        <v>0</v>
      </c>
      <c r="D45" s="147" t="s">
        <v>68</v>
      </c>
      <c r="E45" s="167">
        <v>0</v>
      </c>
      <c r="F45" s="138"/>
      <c r="G45" s="138"/>
      <c r="H45" s="157">
        <f>E45*C45</f>
        <v>0</v>
      </c>
    </row>
    <row r="46" spans="1:8" x14ac:dyDescent="0.25">
      <c r="A46" s="136"/>
      <c r="B46" s="147" t="s">
        <v>70</v>
      </c>
      <c r="C46" s="177">
        <v>1</v>
      </c>
      <c r="D46" s="147" t="s">
        <v>25</v>
      </c>
      <c r="E46" s="167">
        <v>0</v>
      </c>
      <c r="F46" s="138"/>
      <c r="G46" s="139"/>
      <c r="H46" s="157">
        <f>E46*C46</f>
        <v>0</v>
      </c>
    </row>
    <row r="47" spans="1:8" s="203" customFormat="1" ht="12.75" x14ac:dyDescent="0.2">
      <c r="A47" s="291" t="s">
        <v>71</v>
      </c>
      <c r="B47" s="292"/>
      <c r="C47" s="292"/>
      <c r="D47" s="292"/>
      <c r="E47" s="292"/>
      <c r="F47" s="292"/>
      <c r="G47" s="292"/>
      <c r="H47" s="206">
        <f>SUM(H36:H46)</f>
        <v>305.54999999999995</v>
      </c>
    </row>
    <row r="48" spans="1:8" x14ac:dyDescent="0.25">
      <c r="A48" s="196"/>
      <c r="B48" s="197"/>
      <c r="C48" s="197"/>
      <c r="D48" s="197"/>
      <c r="E48" s="197"/>
      <c r="F48" s="197"/>
      <c r="G48" s="197"/>
      <c r="H48" s="198"/>
    </row>
    <row r="49" spans="1:8" x14ac:dyDescent="0.25">
      <c r="A49" s="291" t="s">
        <v>72</v>
      </c>
      <c r="B49" s="292"/>
      <c r="C49" s="292"/>
      <c r="D49" s="292"/>
      <c r="E49" s="292"/>
      <c r="F49" s="292"/>
      <c r="G49" s="293"/>
      <c r="H49" s="207">
        <f>+H9-H31-H47</f>
        <v>2024.0550000000001</v>
      </c>
    </row>
    <row r="50" spans="1:8" x14ac:dyDescent="0.25">
      <c r="A50" s="302" t="s">
        <v>73</v>
      </c>
      <c r="B50" s="303"/>
      <c r="C50" s="303"/>
      <c r="D50" s="303"/>
      <c r="E50" s="303"/>
      <c r="F50" s="303"/>
      <c r="G50" s="303"/>
      <c r="H50" s="303"/>
    </row>
    <row r="53" spans="1:8" x14ac:dyDescent="0.25">
      <c r="A53" s="109"/>
      <c r="B53" s="237"/>
      <c r="C53" s="237"/>
      <c r="D53" s="237"/>
      <c r="E53" s="237"/>
      <c r="F53" s="237"/>
      <c r="G53" s="237"/>
      <c r="H53" s="237"/>
    </row>
    <row r="54" spans="1:8" x14ac:dyDescent="0.25">
      <c r="A54" s="109"/>
      <c r="B54" s="237"/>
      <c r="C54" s="237"/>
      <c r="D54" s="237"/>
      <c r="E54" s="237"/>
      <c r="F54" s="237"/>
      <c r="G54" s="237"/>
      <c r="H54" s="237"/>
    </row>
    <row r="55" spans="1:8" x14ac:dyDescent="0.25">
      <c r="A55" s="109"/>
      <c r="B55" s="237"/>
      <c r="C55" s="237"/>
      <c r="D55" s="237"/>
      <c r="E55" s="237"/>
      <c r="F55" s="237"/>
      <c r="G55" s="237"/>
      <c r="H55" s="237"/>
    </row>
    <row r="56" spans="1:8" x14ac:dyDescent="0.25">
      <c r="A56" s="109"/>
      <c r="B56" s="237"/>
      <c r="C56" s="237"/>
      <c r="D56" s="237"/>
      <c r="E56" s="237"/>
      <c r="F56" s="237"/>
      <c r="G56" s="237"/>
      <c r="H56" s="237"/>
    </row>
    <row r="57" spans="1:8" x14ac:dyDescent="0.25">
      <c r="A57" s="109"/>
      <c r="B57" s="237"/>
      <c r="C57" s="237"/>
      <c r="D57" s="237"/>
      <c r="E57" s="237"/>
      <c r="F57" s="237"/>
      <c r="G57" s="237"/>
      <c r="H57" s="237"/>
    </row>
    <row r="58" spans="1:8" x14ac:dyDescent="0.25">
      <c r="A58" s="109"/>
      <c r="B58" s="237"/>
      <c r="C58" s="237"/>
      <c r="D58" s="237"/>
      <c r="E58" s="237"/>
      <c r="F58" s="237"/>
      <c r="G58" s="237"/>
      <c r="H58" s="237"/>
    </row>
    <row r="59" spans="1:8" x14ac:dyDescent="0.25">
      <c r="A59" s="109"/>
      <c r="B59" s="237"/>
      <c r="C59" s="237"/>
      <c r="D59" s="237"/>
      <c r="E59" s="237"/>
      <c r="F59" s="237"/>
      <c r="G59" s="237"/>
      <c r="H59" s="237"/>
    </row>
    <row r="60" spans="1:8" x14ac:dyDescent="0.25">
      <c r="A60" s="109"/>
      <c r="B60" s="237"/>
      <c r="C60" s="237"/>
      <c r="D60" s="237"/>
      <c r="E60" s="237"/>
      <c r="F60" s="237"/>
      <c r="G60" s="237"/>
      <c r="H60" s="237"/>
    </row>
    <row r="61" spans="1:8" x14ac:dyDescent="0.25">
      <c r="A61" s="109"/>
      <c r="B61" s="237"/>
      <c r="C61" s="237"/>
      <c r="D61" s="237"/>
      <c r="E61" s="237"/>
      <c r="F61" s="237"/>
      <c r="G61" s="237"/>
      <c r="H61" s="237"/>
    </row>
    <row r="62" spans="1:8" x14ac:dyDescent="0.25">
      <c r="A62" s="109"/>
      <c r="B62" s="237"/>
      <c r="C62" s="237"/>
      <c r="D62" s="237"/>
      <c r="E62" s="237"/>
      <c r="F62" s="237"/>
      <c r="G62" s="237"/>
      <c r="H62" s="237"/>
    </row>
    <row r="63" spans="1:8" x14ac:dyDescent="0.25">
      <c r="A63" s="109"/>
      <c r="B63" s="237"/>
      <c r="C63" s="237"/>
      <c r="D63" s="237"/>
      <c r="E63" s="237"/>
      <c r="F63" s="237"/>
      <c r="G63" s="237"/>
      <c r="H63" s="237"/>
    </row>
  </sheetData>
  <mergeCells count="6">
    <mergeCell ref="A50:H50"/>
    <mergeCell ref="A1:H1"/>
    <mergeCell ref="C4:H4"/>
    <mergeCell ref="C11:H11"/>
    <mergeCell ref="A47:G47"/>
    <mergeCell ref="A49:G49"/>
  </mergeCells>
  <pageMargins left="0.7" right="0.7" top="0.75" bottom="0.75" header="0.3" footer="0.3"/>
  <pageSetup scale="98"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69"/>
  <sheetViews>
    <sheetView tabSelected="1" zoomScaleNormal="100" workbookViewId="0">
      <selection activeCell="B11" sqref="B11"/>
    </sheetView>
  </sheetViews>
  <sheetFormatPr defaultColWidth="9.140625" defaultRowHeight="15" x14ac:dyDescent="0.25"/>
  <cols>
    <col min="1" max="1" width="8.85546875" customWidth="1"/>
    <col min="2" max="2" width="33.5703125" style="107" customWidth="1"/>
    <col min="3" max="3" width="10" style="107" bestFit="1" customWidth="1"/>
    <col min="4" max="4" width="11.7109375" style="107" customWidth="1"/>
    <col min="5" max="5" width="11.7109375" style="107" bestFit="1" customWidth="1"/>
    <col min="6" max="6" width="13.140625" style="107" customWidth="1"/>
    <col min="7" max="7" width="9.140625" style="107"/>
    <col min="8" max="8" width="11" style="107" bestFit="1" customWidth="1"/>
    <col min="9" max="11" width="9.140625" style="107"/>
    <col min="12" max="12" width="13.85546875" style="107" customWidth="1"/>
    <col min="13" max="13" width="11.7109375" style="107" customWidth="1"/>
    <col min="14" max="15" width="10.5703125" style="107" bestFit="1" customWidth="1"/>
    <col min="16" max="19" width="11.5703125" style="107" bestFit="1" customWidth="1"/>
    <col min="20" max="16384" width="9.140625" style="107"/>
  </cols>
  <sheetData>
    <row r="1" spans="1:19" ht="15.75" x14ac:dyDescent="0.25">
      <c r="A1" s="330" t="s">
        <v>108</v>
      </c>
      <c r="B1" s="331"/>
      <c r="C1" s="331"/>
      <c r="D1" s="331"/>
      <c r="E1" s="331"/>
      <c r="F1" s="331"/>
      <c r="G1" s="331"/>
      <c r="H1" s="332"/>
      <c r="I1" s="237"/>
      <c r="J1" s="213" t="s">
        <v>15</v>
      </c>
      <c r="K1" s="214"/>
      <c r="L1" s="214"/>
      <c r="M1" s="214"/>
      <c r="N1" s="214"/>
      <c r="O1" s="214"/>
      <c r="P1" s="214"/>
      <c r="Q1" s="214"/>
      <c r="R1" s="214"/>
      <c r="S1" s="214"/>
    </row>
    <row r="2" spans="1:19" x14ac:dyDescent="0.25">
      <c r="A2" s="20"/>
      <c r="B2" s="20"/>
      <c r="C2" s="20"/>
      <c r="D2" s="20"/>
      <c r="E2" s="20"/>
      <c r="F2" s="20"/>
      <c r="G2" s="20"/>
      <c r="H2" s="20"/>
      <c r="I2" s="237"/>
      <c r="J2" s="215"/>
      <c r="K2" s="283" t="s">
        <v>109</v>
      </c>
      <c r="L2" s="284"/>
      <c r="M2" s="284"/>
      <c r="N2" s="284"/>
      <c r="O2" s="284"/>
      <c r="P2" s="284"/>
      <c r="Q2" s="284"/>
      <c r="R2" s="284"/>
      <c r="S2" s="284"/>
    </row>
    <row r="3" spans="1:19" x14ac:dyDescent="0.25">
      <c r="A3" s="21"/>
      <c r="B3" s="22"/>
      <c r="C3" s="23" t="s">
        <v>17</v>
      </c>
      <c r="D3" s="23" t="s">
        <v>18</v>
      </c>
      <c r="E3" s="23" t="s">
        <v>19</v>
      </c>
      <c r="F3" s="23"/>
      <c r="G3" s="23"/>
      <c r="H3" s="23" t="s">
        <v>20</v>
      </c>
      <c r="I3" s="237"/>
      <c r="J3" s="215"/>
      <c r="K3" s="286"/>
      <c r="L3" s="286"/>
      <c r="M3" s="286"/>
      <c r="N3" s="286"/>
      <c r="O3" s="286"/>
      <c r="P3" s="286"/>
      <c r="Q3" s="286"/>
      <c r="R3" s="286"/>
      <c r="S3" s="286"/>
    </row>
    <row r="4" spans="1:19" x14ac:dyDescent="0.25">
      <c r="A4" s="79" t="s">
        <v>21</v>
      </c>
      <c r="B4" s="83"/>
      <c r="C4" s="333"/>
      <c r="D4" s="334"/>
      <c r="E4" s="334"/>
      <c r="F4" s="334"/>
      <c r="G4" s="334"/>
      <c r="H4" s="335"/>
      <c r="I4" s="237"/>
      <c r="J4" s="289" t="s">
        <v>110</v>
      </c>
      <c r="K4" s="216"/>
      <c r="L4" s="217">
        <v>0.03</v>
      </c>
      <c r="M4" s="217">
        <v>0.04</v>
      </c>
      <c r="N4" s="217">
        <v>0.05</v>
      </c>
      <c r="O4" s="217">
        <v>0.06</v>
      </c>
      <c r="P4" s="217">
        <v>7.0000000000000007E-2</v>
      </c>
      <c r="Q4" s="217">
        <v>0.08</v>
      </c>
      <c r="R4" s="217">
        <v>0.09</v>
      </c>
      <c r="S4" s="217">
        <v>0.1</v>
      </c>
    </row>
    <row r="5" spans="1:19" x14ac:dyDescent="0.25">
      <c r="A5" s="20"/>
      <c r="B5" s="20" t="s">
        <v>81</v>
      </c>
      <c r="C5" s="246">
        <v>7.4999999999999997E-2</v>
      </c>
      <c r="D5" s="342"/>
      <c r="E5" s="274"/>
      <c r="F5" s="340"/>
      <c r="G5" s="341"/>
      <c r="H5" s="340"/>
      <c r="I5" s="237"/>
      <c r="J5" s="336"/>
      <c r="K5" s="229">
        <v>0.2</v>
      </c>
      <c r="L5" s="219">
        <f t="shared" ref="L5:L10" si="0">(($L$4*K5)*100)*$C$11-$H$42-$H$58</f>
        <v>-5974.644870000001</v>
      </c>
      <c r="M5" s="220">
        <f t="shared" ref="M5:M10" si="1">(($M$4*K5)*100)*$C$11-$H$42-$H$58</f>
        <v>-5457.3698700000004</v>
      </c>
      <c r="N5" s="220">
        <f t="shared" ref="N5:N10" si="2">(($N$4*K5)*100)*$C$11-$H$42-$H$58</f>
        <v>-4940.0948700000008</v>
      </c>
      <c r="O5" s="220">
        <f t="shared" ref="O5:O10" si="3">(($O$4*K5)*100)*$C$11-$H$42-$H$58</f>
        <v>-4422.8198700000012</v>
      </c>
      <c r="P5" s="220">
        <f t="shared" ref="P5:P10" si="4">(($P$4*K5)*100)*$C$11-$H$42-$H$58</f>
        <v>-3905.5448700000006</v>
      </c>
      <c r="Q5" s="220">
        <f t="shared" ref="Q5:Q10" si="5">(($Q$4*K5)*100)*$C$11-$H$42-$H$58</f>
        <v>-3388.269870000001</v>
      </c>
      <c r="R5" s="220">
        <f t="shared" ref="R5:R10" si="6">(($R$4*K5)*100)*$C$11-$H$42-$H$58</f>
        <v>-2870.9948700000014</v>
      </c>
      <c r="S5" s="220">
        <f t="shared" ref="S5:S10" si="7">(($S$4*K5)*100)*$C$11-$H$42-$H$58</f>
        <v>-2353.7198699999999</v>
      </c>
    </row>
    <row r="6" spans="1:19" x14ac:dyDescent="0.25">
      <c r="A6" s="20"/>
      <c r="B6" s="20" t="s">
        <v>111</v>
      </c>
      <c r="C6" s="247">
        <v>0.6</v>
      </c>
      <c r="D6" s="345"/>
      <c r="E6" s="274"/>
      <c r="F6" s="285"/>
      <c r="G6" s="285"/>
      <c r="H6" s="341"/>
      <c r="I6" s="237"/>
      <c r="J6" s="336"/>
      <c r="K6" s="229">
        <v>0.4</v>
      </c>
      <c r="L6" s="221">
        <f t="shared" si="0"/>
        <v>-4422.8198700000012</v>
      </c>
      <c r="M6" s="222">
        <f t="shared" si="1"/>
        <v>-3388.269870000001</v>
      </c>
      <c r="N6" s="222">
        <f t="shared" si="2"/>
        <v>-2353.7198699999999</v>
      </c>
      <c r="O6" s="222">
        <f t="shared" si="3"/>
        <v>-1319.1698700000006</v>
      </c>
      <c r="P6" s="222">
        <f t="shared" si="4"/>
        <v>-284.6198700000005</v>
      </c>
      <c r="Q6" s="222">
        <f t="shared" si="5"/>
        <v>749.93012999999871</v>
      </c>
      <c r="R6" s="222">
        <f t="shared" si="6"/>
        <v>1784.4801299999981</v>
      </c>
      <c r="S6" s="222">
        <f t="shared" si="7"/>
        <v>2819.030130000001</v>
      </c>
    </row>
    <row r="7" spans="1:19" x14ac:dyDescent="0.25">
      <c r="A7" s="20"/>
      <c r="B7" s="20" t="s">
        <v>112</v>
      </c>
      <c r="C7" s="258" t="s">
        <v>113</v>
      </c>
      <c r="D7" s="275"/>
      <c r="E7" s="253"/>
      <c r="F7" s="285"/>
      <c r="G7" s="285"/>
      <c r="H7" s="341"/>
      <c r="I7" s="237"/>
      <c r="J7" s="336"/>
      <c r="K7" s="229">
        <v>0.6</v>
      </c>
      <c r="L7" s="221">
        <f t="shared" si="0"/>
        <v>-2870.9948700000014</v>
      </c>
      <c r="M7" s="222">
        <f t="shared" si="1"/>
        <v>-1319.1698700000006</v>
      </c>
      <c r="N7" s="222">
        <f t="shared" si="2"/>
        <v>232.65512999999913</v>
      </c>
      <c r="O7" s="222">
        <f t="shared" si="3"/>
        <v>1784.4801299999981</v>
      </c>
      <c r="P7" s="222">
        <f t="shared" si="4"/>
        <v>3336.3051299999988</v>
      </c>
      <c r="Q7" s="222">
        <f t="shared" si="5"/>
        <v>4888.1301299999996</v>
      </c>
      <c r="R7" s="222">
        <f t="shared" si="6"/>
        <v>6439.9551300000003</v>
      </c>
      <c r="S7" s="222">
        <f t="shared" si="7"/>
        <v>7991.7801299999992</v>
      </c>
    </row>
    <row r="8" spans="1:19" s="237" customFormat="1" x14ac:dyDescent="0.25">
      <c r="A8" s="20"/>
      <c r="B8" s="20" t="s">
        <v>114</v>
      </c>
      <c r="C8" s="256">
        <f>43560/(VALUE(LEFT(C7,1))*VALUE(RIGHT(C7,1)))</f>
        <v>2722.5</v>
      </c>
      <c r="D8" s="275"/>
      <c r="E8" s="254"/>
      <c r="F8" s="285"/>
      <c r="G8" s="285"/>
      <c r="H8" s="341"/>
      <c r="J8" s="336"/>
      <c r="K8" s="229">
        <v>0.8</v>
      </c>
      <c r="L8" s="221">
        <f t="shared" si="0"/>
        <v>-1319.1698700000006</v>
      </c>
      <c r="M8" s="222">
        <f t="shared" si="1"/>
        <v>749.93012999999871</v>
      </c>
      <c r="N8" s="222">
        <f t="shared" si="2"/>
        <v>2819.030130000001</v>
      </c>
      <c r="O8" s="222">
        <f t="shared" si="3"/>
        <v>4888.1301299999996</v>
      </c>
      <c r="P8" s="222">
        <f t="shared" si="4"/>
        <v>6957.2301299999999</v>
      </c>
      <c r="Q8" s="222">
        <f t="shared" si="5"/>
        <v>9026.3301299999985</v>
      </c>
      <c r="R8" s="222">
        <f t="shared" si="6"/>
        <v>11095.430129999997</v>
      </c>
      <c r="S8" s="222">
        <f t="shared" si="7"/>
        <v>13164.530130000003</v>
      </c>
    </row>
    <row r="9" spans="1:19" x14ac:dyDescent="0.25">
      <c r="A9" s="20"/>
      <c r="B9" s="20" t="s">
        <v>115</v>
      </c>
      <c r="C9" s="248">
        <v>1</v>
      </c>
      <c r="D9" s="342"/>
      <c r="E9" s="340"/>
      <c r="F9" s="285"/>
      <c r="G9" s="285"/>
      <c r="H9" s="341"/>
      <c r="I9" s="237"/>
      <c r="J9" s="336"/>
      <c r="K9" s="229">
        <v>1</v>
      </c>
      <c r="L9" s="221">
        <f t="shared" si="0"/>
        <v>232.65512999999913</v>
      </c>
      <c r="M9" s="222">
        <f t="shared" si="1"/>
        <v>2819.0301299999992</v>
      </c>
      <c r="N9" s="222">
        <f t="shared" si="2"/>
        <v>5405.4051299999992</v>
      </c>
      <c r="O9" s="222">
        <f t="shared" si="3"/>
        <v>7991.7801299999992</v>
      </c>
      <c r="P9" s="222">
        <f t="shared" si="4"/>
        <v>10578.155130000003</v>
      </c>
      <c r="Q9" s="222">
        <f t="shared" si="5"/>
        <v>13164.530129999999</v>
      </c>
      <c r="R9" s="222">
        <f t="shared" si="6"/>
        <v>15750.905129999999</v>
      </c>
      <c r="S9" s="222">
        <f t="shared" si="7"/>
        <v>18337.280129999999</v>
      </c>
    </row>
    <row r="10" spans="1:19" x14ac:dyDescent="0.25">
      <c r="A10" s="20"/>
      <c r="B10" s="20" t="s">
        <v>116</v>
      </c>
      <c r="C10" s="248">
        <v>0.95</v>
      </c>
      <c r="D10" s="343"/>
      <c r="E10" s="344"/>
      <c r="F10" s="287"/>
      <c r="G10" s="287"/>
      <c r="H10" s="287"/>
      <c r="I10" s="237"/>
      <c r="J10" s="336"/>
      <c r="K10" s="229">
        <v>1.2</v>
      </c>
      <c r="L10" s="221">
        <f t="shared" si="0"/>
        <v>1784.4801299999981</v>
      </c>
      <c r="M10" s="222">
        <f t="shared" si="1"/>
        <v>4888.1301299999996</v>
      </c>
      <c r="N10" s="222">
        <f t="shared" si="2"/>
        <v>7991.7801299999992</v>
      </c>
      <c r="O10" s="222">
        <f t="shared" si="3"/>
        <v>11095.430129999997</v>
      </c>
      <c r="P10" s="222">
        <f t="shared" si="4"/>
        <v>14199.080129999998</v>
      </c>
      <c r="Q10" s="222">
        <f t="shared" si="5"/>
        <v>17302.730129999996</v>
      </c>
      <c r="R10" s="222">
        <f t="shared" si="6"/>
        <v>20406.380129999998</v>
      </c>
      <c r="S10" s="222">
        <f t="shared" si="7"/>
        <v>23510.030129999999</v>
      </c>
    </row>
    <row r="11" spans="1:19" x14ac:dyDescent="0.25">
      <c r="A11" s="20"/>
      <c r="B11" s="135" t="s">
        <v>117</v>
      </c>
      <c r="C11" s="124">
        <f>C8*C9*C10</f>
        <v>2586.375</v>
      </c>
      <c r="D11" s="141" t="s">
        <v>23</v>
      </c>
      <c r="E11" s="249">
        <f>(C5*C6)*100</f>
        <v>4.5</v>
      </c>
      <c r="F11" s="126"/>
      <c r="G11" s="126"/>
      <c r="H11" s="250">
        <f>E11*C11</f>
        <v>11638.6875</v>
      </c>
      <c r="I11" s="237"/>
      <c r="J11" s="237"/>
      <c r="K11" s="237"/>
      <c r="L11" s="237"/>
      <c r="M11" s="237"/>
      <c r="N11" s="237"/>
      <c r="O11" s="237"/>
      <c r="P11" s="237"/>
      <c r="Q11" s="237"/>
      <c r="R11" s="237"/>
      <c r="S11" s="237"/>
    </row>
    <row r="12" spans="1:19" x14ac:dyDescent="0.25">
      <c r="A12" s="20"/>
      <c r="B12" s="128" t="s">
        <v>24</v>
      </c>
      <c r="C12" s="124">
        <v>1</v>
      </c>
      <c r="D12" s="125" t="s">
        <v>25</v>
      </c>
      <c r="E12" s="126">
        <v>0</v>
      </c>
      <c r="F12" s="126"/>
      <c r="G12" s="126"/>
      <c r="H12" s="127">
        <f>E12*C12</f>
        <v>0</v>
      </c>
      <c r="I12" s="237"/>
      <c r="J12" s="223"/>
      <c r="K12" s="223"/>
      <c r="L12" s="223"/>
      <c r="M12" s="223"/>
      <c r="N12" s="223"/>
      <c r="O12" s="223"/>
      <c r="P12" s="223"/>
      <c r="Q12" s="223"/>
      <c r="R12" s="223"/>
      <c r="S12" s="223"/>
    </row>
    <row r="13" spans="1:19" x14ac:dyDescent="0.25">
      <c r="A13" s="79" t="s">
        <v>26</v>
      </c>
      <c r="B13" s="84"/>
      <c r="C13" s="85"/>
      <c r="D13" s="85"/>
      <c r="E13" s="86"/>
      <c r="F13" s="86"/>
      <c r="G13" s="86"/>
      <c r="H13" s="86">
        <f>H12+H11</f>
        <v>11638.6875</v>
      </c>
      <c r="I13" s="237"/>
      <c r="J13" s="309" t="s">
        <v>118</v>
      </c>
      <c r="K13" s="215"/>
      <c r="L13" s="224"/>
      <c r="M13" s="224"/>
      <c r="N13" s="215"/>
      <c r="O13" s="224" t="s">
        <v>119</v>
      </c>
      <c r="P13" s="224"/>
      <c r="Q13" s="230">
        <f>C6</f>
        <v>0.6</v>
      </c>
      <c r="R13" s="226" t="s">
        <v>120</v>
      </c>
      <c r="S13" s="215"/>
    </row>
    <row r="14" spans="1:19" x14ac:dyDescent="0.25">
      <c r="A14" s="337"/>
      <c r="B14" s="338"/>
      <c r="C14" s="338"/>
      <c r="D14" s="338"/>
      <c r="E14" s="338"/>
      <c r="F14" s="338"/>
      <c r="G14" s="338"/>
      <c r="H14" s="339"/>
      <c r="I14" s="237"/>
      <c r="J14" s="285"/>
      <c r="K14" s="215"/>
      <c r="L14" s="215"/>
      <c r="M14" s="215"/>
      <c r="N14" s="215"/>
      <c r="O14" s="215"/>
      <c r="P14" s="215"/>
      <c r="Q14" s="215"/>
      <c r="R14" s="215"/>
      <c r="S14" s="215"/>
    </row>
    <row r="15" spans="1:19" x14ac:dyDescent="0.25">
      <c r="A15" s="73" t="s">
        <v>27</v>
      </c>
      <c r="B15" s="87"/>
      <c r="C15" s="350"/>
      <c r="D15" s="351"/>
      <c r="E15" s="351"/>
      <c r="F15" s="351"/>
      <c r="G15" s="351"/>
      <c r="H15" s="352"/>
      <c r="I15" s="237"/>
      <c r="J15" s="285"/>
      <c r="K15" s="216"/>
      <c r="L15" s="231">
        <v>0.03</v>
      </c>
      <c r="M15" s="231">
        <v>0.04</v>
      </c>
      <c r="N15" s="231">
        <v>0.05</v>
      </c>
      <c r="O15" s="231">
        <v>0.06</v>
      </c>
      <c r="P15" s="231">
        <v>7.0000000000000007E-2</v>
      </c>
      <c r="Q15" s="231">
        <v>0.08</v>
      </c>
      <c r="R15" s="231">
        <v>0.09</v>
      </c>
      <c r="S15" s="231">
        <v>0.1</v>
      </c>
    </row>
    <row r="16" spans="1:19" ht="15" customHeight="1" x14ac:dyDescent="0.25">
      <c r="A16" s="20"/>
      <c r="B16" s="24" t="s">
        <v>121</v>
      </c>
      <c r="C16" s="28">
        <f>C8</f>
        <v>2722.5</v>
      </c>
      <c r="D16" s="29" t="s">
        <v>122</v>
      </c>
      <c r="E16" s="30">
        <v>2.17</v>
      </c>
      <c r="F16" s="30"/>
      <c r="G16" s="30"/>
      <c r="H16" s="236">
        <f>E16*C16</f>
        <v>5907.8249999999998</v>
      </c>
      <c r="I16" s="237"/>
      <c r="J16" s="285"/>
      <c r="K16" s="232">
        <v>2000</v>
      </c>
      <c r="L16" s="219">
        <f t="shared" ref="L16:L23" si="8">((($L$15*$C$6)*100)*K16)-$H$42-$H$58</f>
        <v>-3926.4698700000013</v>
      </c>
      <c r="M16" s="220">
        <f t="shared" ref="M16:M23" si="9">((($M$15*$C$6)*100)*K16)-$H$42-$H$58</f>
        <v>-2726.4698700000008</v>
      </c>
      <c r="N16" s="220">
        <f t="shared" ref="N16:N23" si="10">((($N$15*$C$6)*100)*K16)-$H$42-$H$58</f>
        <v>-1526.4698700000008</v>
      </c>
      <c r="O16" s="220">
        <f t="shared" ref="O16:O23" si="11">((($O$15*$C$6)*100)*K16)-$H$42-$H$58</f>
        <v>-326.46987000000178</v>
      </c>
      <c r="P16" s="220">
        <f t="shared" ref="P16:P23" si="12">((($P$15*$C$6)*100)*K16)-$H$42-$H$58</f>
        <v>873.53012999999908</v>
      </c>
      <c r="Q16" s="220">
        <f t="shared" ref="Q16:Q23" si="13">((($Q$15*$C$6)*100)*K16)-$H$42-$H$58</f>
        <v>2073.5301299999992</v>
      </c>
      <c r="R16" s="220">
        <f t="shared" ref="R16:R23" si="14">((($R$15*$C$6)*100)*K16)-$H$42-$H$58</f>
        <v>3273.5301299999992</v>
      </c>
      <c r="S16" s="220">
        <f t="shared" ref="S16:S23" si="15">((($S$15*$C$6)*100)*K16)-$H$42-$H$58</f>
        <v>4473.5301299999992</v>
      </c>
    </row>
    <row r="17" spans="1:19" x14ac:dyDescent="0.25">
      <c r="A17" s="20"/>
      <c r="B17" s="147" t="s">
        <v>123</v>
      </c>
      <c r="C17" s="180">
        <v>1</v>
      </c>
      <c r="D17" s="147" t="s">
        <v>124</v>
      </c>
      <c r="E17" s="179">
        <v>0</v>
      </c>
      <c r="F17" s="148"/>
      <c r="G17" s="148"/>
      <c r="H17" s="181">
        <f>E17*C17</f>
        <v>0</v>
      </c>
      <c r="I17" s="237"/>
      <c r="J17" s="285"/>
      <c r="K17" s="232">
        <v>2100</v>
      </c>
      <c r="L17" s="221">
        <f t="shared" si="8"/>
        <v>-3746.4698700000013</v>
      </c>
      <c r="M17" s="222">
        <f t="shared" si="9"/>
        <v>-2486.4698700000008</v>
      </c>
      <c r="N17" s="222">
        <f t="shared" si="10"/>
        <v>-1226.4698700000008</v>
      </c>
      <c r="O17" s="222">
        <f t="shared" si="11"/>
        <v>33.530129999998209</v>
      </c>
      <c r="P17" s="222">
        <f t="shared" si="12"/>
        <v>1293.5301299999992</v>
      </c>
      <c r="Q17" s="222">
        <f t="shared" si="13"/>
        <v>2553.5301299999992</v>
      </c>
      <c r="R17" s="222">
        <f t="shared" si="14"/>
        <v>3813.5301299999992</v>
      </c>
      <c r="S17" s="222">
        <f t="shared" si="15"/>
        <v>5073.5301299999992</v>
      </c>
    </row>
    <row r="18" spans="1:19" x14ac:dyDescent="0.25">
      <c r="A18" s="20"/>
      <c r="B18" s="24" t="s">
        <v>29</v>
      </c>
      <c r="C18" s="28">
        <v>100</v>
      </c>
      <c r="D18" s="29" t="s">
        <v>30</v>
      </c>
      <c r="E18" s="30">
        <v>0.04</v>
      </c>
      <c r="F18" s="30"/>
      <c r="G18" s="30"/>
      <c r="H18" s="236">
        <f t="shared" ref="H18:H32" si="16">C18*E18</f>
        <v>4</v>
      </c>
      <c r="I18" s="237"/>
      <c r="J18" s="285"/>
      <c r="K18" s="232">
        <v>2200</v>
      </c>
      <c r="L18" s="221">
        <f t="shared" si="8"/>
        <v>-3566.4698700000013</v>
      </c>
      <c r="M18" s="222">
        <f t="shared" si="9"/>
        <v>-2246.4698700000008</v>
      </c>
      <c r="N18" s="222">
        <f t="shared" si="10"/>
        <v>-926.46987000000092</v>
      </c>
      <c r="O18" s="222">
        <f t="shared" si="11"/>
        <v>393.53012999999822</v>
      </c>
      <c r="P18" s="222">
        <f t="shared" si="12"/>
        <v>1713.5301299999992</v>
      </c>
      <c r="Q18" s="222">
        <f t="shared" si="13"/>
        <v>3033.5301299999992</v>
      </c>
      <c r="R18" s="222">
        <f t="shared" si="14"/>
        <v>4353.5301299999992</v>
      </c>
      <c r="S18" s="222">
        <f t="shared" si="15"/>
        <v>5673.5301299999992</v>
      </c>
    </row>
    <row r="19" spans="1:19" x14ac:dyDescent="0.25">
      <c r="A19" s="20"/>
      <c r="B19" s="24" t="s">
        <v>31</v>
      </c>
      <c r="C19" s="31">
        <v>30</v>
      </c>
      <c r="D19" s="26" t="s">
        <v>30</v>
      </c>
      <c r="E19" s="32">
        <v>0.3</v>
      </c>
      <c r="F19" s="32"/>
      <c r="G19" s="32"/>
      <c r="H19" s="236">
        <f t="shared" si="16"/>
        <v>9</v>
      </c>
      <c r="I19" s="237"/>
      <c r="J19" s="285"/>
      <c r="K19" s="232">
        <v>2300</v>
      </c>
      <c r="L19" s="221">
        <f t="shared" si="8"/>
        <v>-3386.4698700000008</v>
      </c>
      <c r="M19" s="222">
        <f t="shared" si="9"/>
        <v>-2006.4698700000008</v>
      </c>
      <c r="N19" s="222">
        <f t="shared" si="10"/>
        <v>-626.46987000000092</v>
      </c>
      <c r="O19" s="222">
        <f t="shared" si="11"/>
        <v>753.53012999999908</v>
      </c>
      <c r="P19" s="222">
        <f t="shared" si="12"/>
        <v>2133.5301299999992</v>
      </c>
      <c r="Q19" s="222">
        <f t="shared" si="13"/>
        <v>3513.5301299999992</v>
      </c>
      <c r="R19" s="222">
        <f t="shared" si="14"/>
        <v>4893.5301299999992</v>
      </c>
      <c r="S19" s="222">
        <f t="shared" si="15"/>
        <v>6273.5301299999992</v>
      </c>
    </row>
    <row r="20" spans="1:19" x14ac:dyDescent="0.25">
      <c r="A20" s="20"/>
      <c r="B20" s="24" t="s">
        <v>32</v>
      </c>
      <c r="C20" s="31">
        <v>45</v>
      </c>
      <c r="D20" s="26" t="s">
        <v>30</v>
      </c>
      <c r="E20" s="32">
        <v>0.3</v>
      </c>
      <c r="F20" s="32"/>
      <c r="G20" s="32"/>
      <c r="H20" s="236">
        <f t="shared" si="16"/>
        <v>13.5</v>
      </c>
      <c r="I20" s="237"/>
      <c r="J20" s="285"/>
      <c r="K20" s="232">
        <v>2400</v>
      </c>
      <c r="L20" s="221">
        <f t="shared" si="8"/>
        <v>-3206.4698700000008</v>
      </c>
      <c r="M20" s="222">
        <f t="shared" si="9"/>
        <v>-1766.4698700000008</v>
      </c>
      <c r="N20" s="222">
        <f t="shared" si="10"/>
        <v>-326.46987000000087</v>
      </c>
      <c r="O20" s="222">
        <f t="shared" si="11"/>
        <v>1113.5301299999992</v>
      </c>
      <c r="P20" s="222">
        <f t="shared" si="12"/>
        <v>2553.5301299999992</v>
      </c>
      <c r="Q20" s="222">
        <f t="shared" si="13"/>
        <v>3993.5301299999992</v>
      </c>
      <c r="R20" s="222">
        <f t="shared" si="14"/>
        <v>5433.5301299999992</v>
      </c>
      <c r="S20" s="222">
        <f t="shared" si="15"/>
        <v>6873.5301299999992</v>
      </c>
    </row>
    <row r="21" spans="1:19" x14ac:dyDescent="0.25">
      <c r="A21" s="20"/>
      <c r="B21" s="24" t="s">
        <v>33</v>
      </c>
      <c r="C21" s="33">
        <v>0.3</v>
      </c>
      <c r="D21" s="26" t="s">
        <v>34</v>
      </c>
      <c r="E21" s="32">
        <v>20</v>
      </c>
      <c r="F21" s="32"/>
      <c r="G21" s="32"/>
      <c r="H21" s="236">
        <f t="shared" si="16"/>
        <v>6</v>
      </c>
      <c r="I21" s="237"/>
      <c r="J21" s="285"/>
      <c r="K21" s="232">
        <v>2500</v>
      </c>
      <c r="L21" s="221">
        <f t="shared" si="8"/>
        <v>-3026.4698700000008</v>
      </c>
      <c r="M21" s="222">
        <f t="shared" si="9"/>
        <v>-1526.4698700000008</v>
      </c>
      <c r="N21" s="222">
        <f t="shared" si="10"/>
        <v>-26.469870000000881</v>
      </c>
      <c r="O21" s="222">
        <f t="shared" si="11"/>
        <v>1473.5301299999992</v>
      </c>
      <c r="P21" s="222">
        <f t="shared" si="12"/>
        <v>2973.5301299999992</v>
      </c>
      <c r="Q21" s="222">
        <f t="shared" si="13"/>
        <v>4473.5301299999992</v>
      </c>
      <c r="R21" s="222">
        <f t="shared" si="14"/>
        <v>5973.5301299999992</v>
      </c>
      <c r="S21" s="222">
        <f t="shared" si="15"/>
        <v>7473.5301299999992</v>
      </c>
    </row>
    <row r="22" spans="1:19" x14ac:dyDescent="0.25">
      <c r="A22" s="20"/>
      <c r="B22" s="1" t="s">
        <v>125</v>
      </c>
      <c r="C22" s="12">
        <v>1</v>
      </c>
      <c r="D22" s="7" t="s">
        <v>25</v>
      </c>
      <c r="E22" s="16">
        <v>0</v>
      </c>
      <c r="F22" s="16"/>
      <c r="G22" s="16"/>
      <c r="H22" s="9">
        <f t="shared" si="16"/>
        <v>0</v>
      </c>
      <c r="I22" s="237"/>
      <c r="J22" s="285"/>
      <c r="K22" s="232">
        <v>2600</v>
      </c>
      <c r="L22" s="221">
        <f t="shared" si="8"/>
        <v>-2846.4698700000017</v>
      </c>
      <c r="M22" s="222">
        <f t="shared" si="9"/>
        <v>-1286.4698700000008</v>
      </c>
      <c r="N22" s="222">
        <f t="shared" si="10"/>
        <v>273.53012999999913</v>
      </c>
      <c r="O22" s="222">
        <f t="shared" si="11"/>
        <v>1833.5301299999974</v>
      </c>
      <c r="P22" s="222">
        <f t="shared" si="12"/>
        <v>3393.5301299999992</v>
      </c>
      <c r="Q22" s="222">
        <f t="shared" si="13"/>
        <v>4953.5301299999992</v>
      </c>
      <c r="R22" s="222">
        <f t="shared" si="14"/>
        <v>6513.530130000001</v>
      </c>
      <c r="S22" s="222">
        <f t="shared" si="15"/>
        <v>8073.5301299999992</v>
      </c>
    </row>
    <row r="23" spans="1:19" x14ac:dyDescent="0.25">
      <c r="A23" s="20"/>
      <c r="B23" s="24" t="s">
        <v>36</v>
      </c>
      <c r="C23" s="28">
        <v>1</v>
      </c>
      <c r="D23" s="26" t="s">
        <v>37</v>
      </c>
      <c r="E23" s="53">
        <v>7</v>
      </c>
      <c r="F23" s="53"/>
      <c r="G23" s="53"/>
      <c r="H23" s="236">
        <f t="shared" si="16"/>
        <v>7</v>
      </c>
      <c r="I23" s="237"/>
      <c r="J23" s="285"/>
      <c r="K23" s="232">
        <v>2700</v>
      </c>
      <c r="L23" s="221">
        <f t="shared" si="8"/>
        <v>-2666.4698700000017</v>
      </c>
      <c r="M23" s="222">
        <f t="shared" si="9"/>
        <v>-1046.4698700000008</v>
      </c>
      <c r="N23" s="222">
        <f t="shared" si="10"/>
        <v>573.53012999999908</v>
      </c>
      <c r="O23" s="222">
        <f t="shared" si="11"/>
        <v>2193.5301299999974</v>
      </c>
      <c r="P23" s="222">
        <f t="shared" si="12"/>
        <v>3813.5301299999992</v>
      </c>
      <c r="Q23" s="222">
        <f t="shared" si="13"/>
        <v>5433.5301299999992</v>
      </c>
      <c r="R23" s="222">
        <f t="shared" si="14"/>
        <v>7053.530130000001</v>
      </c>
      <c r="S23" s="222">
        <f t="shared" si="15"/>
        <v>8673.5301299999992</v>
      </c>
    </row>
    <row r="24" spans="1:19" x14ac:dyDescent="0.25">
      <c r="A24" s="20"/>
      <c r="B24" s="57" t="s">
        <v>126</v>
      </c>
      <c r="C24" s="34">
        <v>5</v>
      </c>
      <c r="D24" s="26" t="s">
        <v>68</v>
      </c>
      <c r="E24" s="35">
        <v>12.96</v>
      </c>
      <c r="F24" s="35"/>
      <c r="G24" s="35"/>
      <c r="H24" s="236">
        <f>E24*C24</f>
        <v>64.800000000000011</v>
      </c>
      <c r="I24" s="237"/>
      <c r="J24" s="285"/>
      <c r="K24" s="232">
        <v>2800</v>
      </c>
      <c r="L24" s="221">
        <f t="shared" ref="L24:L31" si="17">((($L$15*$C$6)*100)*K24)-$H$42-$H$58</f>
        <v>-2486.4698700000017</v>
      </c>
      <c r="M24" s="222">
        <f t="shared" ref="M24:M31" si="18">((($M$15*$C$6)*100)*K24)-$H$42-$H$58</f>
        <v>-806.46987000000092</v>
      </c>
      <c r="N24" s="222">
        <f t="shared" ref="N24:N31" si="19">((($N$15*$C$6)*100)*K24)-$H$42-$H$58</f>
        <v>873.53012999999908</v>
      </c>
      <c r="O24" s="222">
        <f t="shared" ref="O24:O31" si="20">((($O$15*$C$6)*100)*K24)-$H$42-$H$58</f>
        <v>2553.5301299999974</v>
      </c>
      <c r="P24" s="222">
        <f t="shared" ref="P24:P31" si="21">((($P$15*$C$6)*100)*K24)-$H$42-$H$58</f>
        <v>4233.5301299999992</v>
      </c>
      <c r="Q24" s="222">
        <f t="shared" ref="Q24:Q31" si="22">((($Q$15*$C$6)*100)*K24)-$H$42-$H$58</f>
        <v>5913.5301299999992</v>
      </c>
      <c r="R24" s="222">
        <f t="shared" ref="R24:R31" si="23">((($R$15*$C$6)*100)*K24)-$H$42-$H$58</f>
        <v>7593.530130000001</v>
      </c>
      <c r="S24" s="222">
        <f t="shared" ref="S24:S31" si="24">((($S$15*$C$6)*100)*K24)-$H$42-$H$58</f>
        <v>9273.5301299999992</v>
      </c>
    </row>
    <row r="25" spans="1:19" x14ac:dyDescent="0.25">
      <c r="A25" s="20"/>
      <c r="B25" s="57" t="s">
        <v>127</v>
      </c>
      <c r="C25" s="34">
        <v>0</v>
      </c>
      <c r="D25" s="26" t="s">
        <v>68</v>
      </c>
      <c r="E25" s="35">
        <v>12.96</v>
      </c>
      <c r="F25" s="35"/>
      <c r="G25" s="35"/>
      <c r="H25" s="236">
        <v>0</v>
      </c>
      <c r="I25" s="237"/>
      <c r="J25" s="285"/>
      <c r="K25" s="232">
        <v>2900</v>
      </c>
      <c r="L25" s="221">
        <f t="shared" si="17"/>
        <v>-2306.4698700000017</v>
      </c>
      <c r="M25" s="222">
        <f t="shared" si="18"/>
        <v>-566.46987000000092</v>
      </c>
      <c r="N25" s="222">
        <f t="shared" si="19"/>
        <v>1173.5301299999992</v>
      </c>
      <c r="O25" s="222">
        <f t="shared" si="20"/>
        <v>2913.5301299999974</v>
      </c>
      <c r="P25" s="222">
        <f t="shared" si="21"/>
        <v>4653.5301299999992</v>
      </c>
      <c r="Q25" s="222">
        <f t="shared" si="22"/>
        <v>6393.5301299999992</v>
      </c>
      <c r="R25" s="222">
        <f t="shared" si="23"/>
        <v>8133.530130000001</v>
      </c>
      <c r="S25" s="222">
        <f t="shared" si="24"/>
        <v>9873.5301299999992</v>
      </c>
    </row>
    <row r="26" spans="1:19" x14ac:dyDescent="0.25">
      <c r="A26" s="20"/>
      <c r="B26" s="57" t="s">
        <v>128</v>
      </c>
      <c r="C26" s="34">
        <v>32.4</v>
      </c>
      <c r="D26" s="26" t="s">
        <v>68</v>
      </c>
      <c r="E26" s="35">
        <v>12.96</v>
      </c>
      <c r="F26" s="35"/>
      <c r="G26" s="35"/>
      <c r="H26" s="236">
        <f t="shared" si="16"/>
        <v>419.904</v>
      </c>
      <c r="I26" s="237"/>
      <c r="J26" s="285"/>
      <c r="K26" s="232">
        <v>3000</v>
      </c>
      <c r="L26" s="221">
        <f t="shared" si="17"/>
        <v>-2126.4698700000017</v>
      </c>
      <c r="M26" s="222">
        <f t="shared" si="18"/>
        <v>-326.46987000000087</v>
      </c>
      <c r="N26" s="222">
        <f t="shared" si="19"/>
        <v>1473.5301299999992</v>
      </c>
      <c r="O26" s="222">
        <f t="shared" si="20"/>
        <v>3273.5301299999974</v>
      </c>
      <c r="P26" s="222">
        <f t="shared" si="21"/>
        <v>5073.5301299999992</v>
      </c>
      <c r="Q26" s="222">
        <f t="shared" si="22"/>
        <v>6873.5301299999992</v>
      </c>
      <c r="R26" s="222">
        <f t="shared" si="23"/>
        <v>8673.530130000001</v>
      </c>
      <c r="S26" s="222">
        <f t="shared" si="24"/>
        <v>10473.530129999999</v>
      </c>
    </row>
    <row r="27" spans="1:19" x14ac:dyDescent="0.25">
      <c r="A27" s="20"/>
      <c r="B27" s="147" t="s">
        <v>129</v>
      </c>
      <c r="C27" s="149">
        <v>0</v>
      </c>
      <c r="D27" s="138" t="s">
        <v>68</v>
      </c>
      <c r="E27" s="150">
        <v>0</v>
      </c>
      <c r="F27" s="150"/>
      <c r="G27" s="150"/>
      <c r="H27" s="127">
        <f>E27*C27</f>
        <v>0</v>
      </c>
      <c r="I27" s="237"/>
      <c r="J27" s="285"/>
      <c r="K27" s="232">
        <v>3100</v>
      </c>
      <c r="L27" s="221">
        <f t="shared" si="17"/>
        <v>-1946.4698700000017</v>
      </c>
      <c r="M27" s="222">
        <f t="shared" si="18"/>
        <v>-86.469870000000881</v>
      </c>
      <c r="N27" s="222">
        <f t="shared" si="19"/>
        <v>1773.5301299999992</v>
      </c>
      <c r="O27" s="222">
        <f t="shared" si="20"/>
        <v>3633.5301299999974</v>
      </c>
      <c r="P27" s="222">
        <f t="shared" si="21"/>
        <v>5493.5301299999992</v>
      </c>
      <c r="Q27" s="222">
        <f t="shared" si="22"/>
        <v>7353.5301299999992</v>
      </c>
      <c r="R27" s="222">
        <f t="shared" si="23"/>
        <v>9213.5301299999992</v>
      </c>
      <c r="S27" s="222">
        <f t="shared" si="24"/>
        <v>11073.530129999999</v>
      </c>
    </row>
    <row r="28" spans="1:19" x14ac:dyDescent="0.25">
      <c r="A28" s="20"/>
      <c r="B28" s="57" t="s">
        <v>130</v>
      </c>
      <c r="C28" s="34">
        <v>0</v>
      </c>
      <c r="D28" s="26" t="s">
        <v>131</v>
      </c>
      <c r="E28" s="35">
        <v>1.5</v>
      </c>
      <c r="F28" s="35"/>
      <c r="G28" s="35"/>
      <c r="H28" s="236">
        <f>E28*C28</f>
        <v>0</v>
      </c>
      <c r="I28" s="237"/>
      <c r="J28" s="285"/>
      <c r="K28" s="232">
        <v>3200</v>
      </c>
      <c r="L28" s="221">
        <f t="shared" si="17"/>
        <v>-1766.4698700000017</v>
      </c>
      <c r="M28" s="222">
        <f t="shared" si="18"/>
        <v>153.53012999999913</v>
      </c>
      <c r="N28" s="222">
        <f t="shared" si="19"/>
        <v>2073.5301299999992</v>
      </c>
      <c r="O28" s="222">
        <f t="shared" si="20"/>
        <v>3993.5301299999974</v>
      </c>
      <c r="P28" s="222">
        <f t="shared" si="21"/>
        <v>5913.5301299999992</v>
      </c>
      <c r="Q28" s="222">
        <f t="shared" si="22"/>
        <v>7833.5301299999992</v>
      </c>
      <c r="R28" s="222">
        <f t="shared" si="23"/>
        <v>9753.5301299999992</v>
      </c>
      <c r="S28" s="222">
        <f t="shared" si="24"/>
        <v>11673.530129999999</v>
      </c>
    </row>
    <row r="29" spans="1:19" x14ac:dyDescent="0.25">
      <c r="A29" s="20"/>
      <c r="B29" s="57" t="s">
        <v>86</v>
      </c>
      <c r="C29" s="34">
        <v>1</v>
      </c>
      <c r="D29" s="26" t="s">
        <v>25</v>
      </c>
      <c r="E29" s="35">
        <v>0</v>
      </c>
      <c r="F29" s="35"/>
      <c r="G29" s="35"/>
      <c r="H29" s="236">
        <f>E29*C29</f>
        <v>0</v>
      </c>
      <c r="I29" s="237"/>
      <c r="J29" s="285"/>
      <c r="K29" s="232">
        <v>3300</v>
      </c>
      <c r="L29" s="221">
        <f t="shared" si="17"/>
        <v>-1586.4698700000017</v>
      </c>
      <c r="M29" s="222">
        <f t="shared" si="18"/>
        <v>393.53012999999913</v>
      </c>
      <c r="N29" s="222">
        <f t="shared" si="19"/>
        <v>2373.5301299999992</v>
      </c>
      <c r="O29" s="222">
        <f t="shared" si="20"/>
        <v>4353.5301299999974</v>
      </c>
      <c r="P29" s="222">
        <f t="shared" si="21"/>
        <v>6333.5301299999992</v>
      </c>
      <c r="Q29" s="222">
        <f t="shared" si="22"/>
        <v>8313.5301299999992</v>
      </c>
      <c r="R29" s="222">
        <f t="shared" si="23"/>
        <v>10293.530129999999</v>
      </c>
      <c r="S29" s="222">
        <f t="shared" si="24"/>
        <v>12273.530129999999</v>
      </c>
    </row>
    <row r="30" spans="1:19" x14ac:dyDescent="0.25">
      <c r="A30" s="20"/>
      <c r="B30" s="57" t="s">
        <v>132</v>
      </c>
      <c r="C30" s="34">
        <v>5</v>
      </c>
      <c r="D30" s="26" t="s">
        <v>25</v>
      </c>
      <c r="E30" s="35">
        <v>35</v>
      </c>
      <c r="F30" s="35"/>
      <c r="G30" s="35"/>
      <c r="H30" s="236">
        <f>E30*C30</f>
        <v>175</v>
      </c>
      <c r="I30" s="237"/>
      <c r="J30" s="285"/>
      <c r="K30" s="232">
        <v>3400</v>
      </c>
      <c r="L30" s="221">
        <f t="shared" si="17"/>
        <v>-1406.4698700000017</v>
      </c>
      <c r="M30" s="222">
        <f t="shared" si="18"/>
        <v>633.53012999999908</v>
      </c>
      <c r="N30" s="222">
        <f t="shared" si="19"/>
        <v>2673.5301299999992</v>
      </c>
      <c r="O30" s="222">
        <f t="shared" si="20"/>
        <v>4713.5301299999974</v>
      </c>
      <c r="P30" s="222">
        <f t="shared" si="21"/>
        <v>6753.5301299999992</v>
      </c>
      <c r="Q30" s="222">
        <f t="shared" si="22"/>
        <v>8793.5301299999992</v>
      </c>
      <c r="R30" s="222">
        <f t="shared" si="23"/>
        <v>10833.530129999999</v>
      </c>
      <c r="S30" s="222">
        <f t="shared" si="24"/>
        <v>12873.530129999999</v>
      </c>
    </row>
    <row r="31" spans="1:19" x14ac:dyDescent="0.25">
      <c r="A31" s="20"/>
      <c r="B31" s="57" t="s">
        <v>38</v>
      </c>
      <c r="C31" s="39">
        <v>30</v>
      </c>
      <c r="D31" s="26" t="s">
        <v>76</v>
      </c>
      <c r="E31" s="44">
        <v>1.5</v>
      </c>
      <c r="F31" s="36"/>
      <c r="G31" s="117"/>
      <c r="H31" s="236">
        <f>E31*C31</f>
        <v>45</v>
      </c>
      <c r="I31" s="237"/>
      <c r="J31" s="285"/>
      <c r="K31" s="232">
        <v>3500</v>
      </c>
      <c r="L31" s="221">
        <f t="shared" si="17"/>
        <v>-1226.4698700000017</v>
      </c>
      <c r="M31" s="222">
        <f t="shared" si="18"/>
        <v>873.53012999999908</v>
      </c>
      <c r="N31" s="222">
        <f t="shared" si="19"/>
        <v>2973.5301299999992</v>
      </c>
      <c r="O31" s="222">
        <f t="shared" si="20"/>
        <v>5073.5301299999974</v>
      </c>
      <c r="P31" s="222">
        <f t="shared" si="21"/>
        <v>7173.5301299999992</v>
      </c>
      <c r="Q31" s="222">
        <f t="shared" si="22"/>
        <v>9273.5301299999992</v>
      </c>
      <c r="R31" s="222">
        <f t="shared" si="23"/>
        <v>11373.530129999999</v>
      </c>
      <c r="S31" s="222">
        <f t="shared" si="24"/>
        <v>13473.530129999999</v>
      </c>
    </row>
    <row r="32" spans="1:19" x14ac:dyDescent="0.25">
      <c r="A32" s="20"/>
      <c r="B32" s="37" t="s">
        <v>40</v>
      </c>
      <c r="C32" s="34">
        <v>1</v>
      </c>
      <c r="D32" s="26" t="s">
        <v>25</v>
      </c>
      <c r="E32" s="32">
        <v>0</v>
      </c>
      <c r="F32" s="32"/>
      <c r="G32" s="32"/>
      <c r="H32" s="236">
        <f t="shared" si="16"/>
        <v>0</v>
      </c>
      <c r="I32" s="237"/>
      <c r="J32" s="285"/>
      <c r="K32" s="232">
        <v>3600</v>
      </c>
      <c r="L32" s="221">
        <f t="shared" ref="L32:L38" si="25">((($L$15*$C$6)*100)*K32)-$H$42-$H$58</f>
        <v>-1046.4698700000017</v>
      </c>
      <c r="M32" s="222">
        <f t="shared" ref="M32:M38" si="26">((($M$15*$C$6)*100)*K32)-$H$42-$H$58</f>
        <v>1113.5301299999992</v>
      </c>
      <c r="N32" s="222">
        <f t="shared" ref="N32:N38" si="27">((($N$15*$C$6)*100)*K32)-$H$42-$H$58</f>
        <v>3273.5301299999992</v>
      </c>
      <c r="O32" s="222">
        <f t="shared" ref="O32:O38" si="28">((($O$15*$C$6)*100)*K32)-$H$42-$H$58</f>
        <v>5433.5301299999974</v>
      </c>
      <c r="P32" s="222">
        <f t="shared" ref="P32:P38" si="29">((($P$15*$C$6)*100)*K32)-$H$42-$H$58</f>
        <v>7593.5301299999992</v>
      </c>
      <c r="Q32" s="222">
        <f t="shared" ref="Q32:Q38" si="30">((($Q$15*$C$6)*100)*K32)-$H$42-$H$58</f>
        <v>9753.5301299999992</v>
      </c>
      <c r="R32" s="222">
        <f t="shared" ref="R32:R38" si="31">((($R$15*$C$6)*100)*K32)-$H$42-$H$58</f>
        <v>11913.530129999999</v>
      </c>
      <c r="S32" s="222">
        <f t="shared" ref="S32:S38" si="32">((($S$15*$C$6)*100)*K32)-$H$42-$H$58</f>
        <v>14073.530129999999</v>
      </c>
    </row>
    <row r="33" spans="1:19" x14ac:dyDescent="0.25">
      <c r="A33" s="20"/>
      <c r="B33" s="24" t="s">
        <v>133</v>
      </c>
      <c r="C33" s="34">
        <v>1</v>
      </c>
      <c r="D33" s="26" t="s">
        <v>25</v>
      </c>
      <c r="E33" s="32">
        <v>0</v>
      </c>
      <c r="F33" s="32"/>
      <c r="G33" s="32"/>
      <c r="H33" s="236">
        <f>E33*C33</f>
        <v>0</v>
      </c>
      <c r="I33" s="237"/>
      <c r="J33" s="285"/>
      <c r="K33" s="232">
        <v>3700</v>
      </c>
      <c r="L33" s="221">
        <f t="shared" si="25"/>
        <v>-866.46987000000183</v>
      </c>
      <c r="M33" s="222">
        <f t="shared" si="26"/>
        <v>1353.5301299999992</v>
      </c>
      <c r="N33" s="222">
        <f t="shared" si="27"/>
        <v>3573.5301299999992</v>
      </c>
      <c r="O33" s="222">
        <f t="shared" si="28"/>
        <v>5793.5301299999974</v>
      </c>
      <c r="P33" s="222">
        <f t="shared" si="29"/>
        <v>8013.5301299999992</v>
      </c>
      <c r="Q33" s="222">
        <f t="shared" si="30"/>
        <v>10233.530129999999</v>
      </c>
      <c r="R33" s="222">
        <f t="shared" si="31"/>
        <v>12453.530129999999</v>
      </c>
      <c r="S33" s="222">
        <f t="shared" si="32"/>
        <v>14673.530129999999</v>
      </c>
    </row>
    <row r="34" spans="1:19" x14ac:dyDescent="0.25">
      <c r="A34" s="20"/>
      <c r="B34" s="1" t="s">
        <v>44</v>
      </c>
      <c r="C34" s="178">
        <v>1</v>
      </c>
      <c r="D34" s="7" t="s">
        <v>45</v>
      </c>
      <c r="E34" s="11">
        <v>400</v>
      </c>
      <c r="F34" s="11" t="s">
        <v>46</v>
      </c>
      <c r="G34" s="48">
        <v>5</v>
      </c>
      <c r="H34" s="9">
        <f>E34/G34</f>
        <v>80</v>
      </c>
      <c r="I34" s="237"/>
      <c r="J34" s="285"/>
      <c r="K34" s="232">
        <v>3800</v>
      </c>
      <c r="L34" s="221">
        <f t="shared" si="25"/>
        <v>-686.46987000000183</v>
      </c>
      <c r="M34" s="222">
        <f t="shared" si="26"/>
        <v>1593.5301299999992</v>
      </c>
      <c r="N34" s="222">
        <f t="shared" si="27"/>
        <v>3873.5301299999992</v>
      </c>
      <c r="O34" s="222">
        <f t="shared" si="28"/>
        <v>6153.5301299999974</v>
      </c>
      <c r="P34" s="222">
        <f t="shared" si="29"/>
        <v>8433.5301299999992</v>
      </c>
      <c r="Q34" s="222">
        <f t="shared" si="30"/>
        <v>10713.530129999999</v>
      </c>
      <c r="R34" s="222">
        <f t="shared" si="31"/>
        <v>12993.530129999999</v>
      </c>
      <c r="S34" s="222">
        <f t="shared" si="32"/>
        <v>15273.530129999999</v>
      </c>
    </row>
    <row r="35" spans="1:19" x14ac:dyDescent="0.25">
      <c r="A35" s="20"/>
      <c r="B35" s="1" t="s">
        <v>94</v>
      </c>
      <c r="C35" s="178">
        <v>3</v>
      </c>
      <c r="D35" s="7" t="s">
        <v>101</v>
      </c>
      <c r="E35" s="11">
        <v>60</v>
      </c>
      <c r="F35" s="11" t="s">
        <v>192</v>
      </c>
      <c r="G35" s="48">
        <v>1</v>
      </c>
      <c r="H35" s="9">
        <f>(C35*E35)/G35</f>
        <v>180</v>
      </c>
      <c r="I35" s="237"/>
      <c r="J35" s="285"/>
      <c r="K35" s="232">
        <v>3900</v>
      </c>
      <c r="L35" s="221">
        <f t="shared" si="25"/>
        <v>-506.46987000000178</v>
      </c>
      <c r="M35" s="222">
        <f t="shared" si="26"/>
        <v>1833.5301299999992</v>
      </c>
      <c r="N35" s="222">
        <f t="shared" si="27"/>
        <v>4173.5301299999992</v>
      </c>
      <c r="O35" s="222">
        <f t="shared" si="28"/>
        <v>6513.5301299999974</v>
      </c>
      <c r="P35" s="222">
        <f t="shared" si="29"/>
        <v>8853.5301299999992</v>
      </c>
      <c r="Q35" s="222">
        <f t="shared" si="30"/>
        <v>11193.530129999999</v>
      </c>
      <c r="R35" s="222">
        <f t="shared" si="31"/>
        <v>13533.530129999999</v>
      </c>
      <c r="S35" s="222">
        <f t="shared" si="32"/>
        <v>15873.530129999999</v>
      </c>
    </row>
    <row r="36" spans="1:19" s="237" customFormat="1" x14ac:dyDescent="0.25">
      <c r="A36" s="20"/>
      <c r="B36" s="1" t="s">
        <v>41</v>
      </c>
      <c r="C36" s="178">
        <v>1</v>
      </c>
      <c r="D36" s="7" t="s">
        <v>25</v>
      </c>
      <c r="E36" s="11">
        <v>300</v>
      </c>
      <c r="F36" s="11"/>
      <c r="G36" s="48"/>
      <c r="H36" s="9">
        <f>E36*C36</f>
        <v>300</v>
      </c>
      <c r="J36" s="285"/>
      <c r="K36" s="232">
        <v>4000</v>
      </c>
      <c r="L36" s="221">
        <f t="shared" si="25"/>
        <v>-326.46987000000178</v>
      </c>
      <c r="M36" s="222">
        <f t="shared" si="26"/>
        <v>2073.5301299999992</v>
      </c>
      <c r="N36" s="222">
        <f t="shared" si="27"/>
        <v>4473.5301299999992</v>
      </c>
      <c r="O36" s="222">
        <f t="shared" si="28"/>
        <v>6873.5301299999974</v>
      </c>
      <c r="P36" s="222">
        <f t="shared" si="29"/>
        <v>9273.5301299999992</v>
      </c>
      <c r="Q36" s="222">
        <f t="shared" si="30"/>
        <v>11673.530129999999</v>
      </c>
      <c r="R36" s="222">
        <f t="shared" si="31"/>
        <v>14073.530129999999</v>
      </c>
      <c r="S36" s="222">
        <f t="shared" si="32"/>
        <v>16473.530129999999</v>
      </c>
    </row>
    <row r="37" spans="1:19" x14ac:dyDescent="0.25">
      <c r="A37" s="20"/>
      <c r="B37" s="24" t="s">
        <v>49</v>
      </c>
      <c r="C37" s="166">
        <f>SUM(H16:H35)+SUM(H38:H41)</f>
        <v>6912.0290000000005</v>
      </c>
      <c r="D37" s="26" t="s">
        <v>50</v>
      </c>
      <c r="E37" s="38">
        <v>0.06</v>
      </c>
      <c r="F37" s="19" t="s">
        <v>51</v>
      </c>
      <c r="G37" s="14">
        <v>6</v>
      </c>
      <c r="H37" s="236">
        <f>C37*E37*(G37/12)</f>
        <v>207.36087000000001</v>
      </c>
      <c r="I37" s="237"/>
      <c r="J37" s="285"/>
      <c r="K37" s="232">
        <v>4100</v>
      </c>
      <c r="L37" s="221">
        <f t="shared" si="25"/>
        <v>-146.46987000000178</v>
      </c>
      <c r="M37" s="222">
        <f t="shared" si="26"/>
        <v>2313.5301299999992</v>
      </c>
      <c r="N37" s="222">
        <f t="shared" si="27"/>
        <v>4773.5301299999992</v>
      </c>
      <c r="O37" s="222">
        <f t="shared" si="28"/>
        <v>7233.5301299999974</v>
      </c>
      <c r="P37" s="222">
        <f t="shared" si="29"/>
        <v>9693.5301299999992</v>
      </c>
      <c r="Q37" s="222">
        <f t="shared" si="30"/>
        <v>12153.530129999999</v>
      </c>
      <c r="R37" s="222">
        <f t="shared" si="31"/>
        <v>14613.530129999999</v>
      </c>
      <c r="S37" s="222">
        <f t="shared" si="32"/>
        <v>17073.530129999999</v>
      </c>
    </row>
    <row r="38" spans="1:19" s="234" customFormat="1" x14ac:dyDescent="0.25">
      <c r="A38" s="20"/>
      <c r="B38" s="24" t="s">
        <v>47</v>
      </c>
      <c r="C38" s="34">
        <v>1</v>
      </c>
      <c r="D38" s="26" t="s">
        <v>25</v>
      </c>
      <c r="E38" s="32">
        <v>0</v>
      </c>
      <c r="F38" s="19"/>
      <c r="G38" s="14"/>
      <c r="H38" s="236">
        <f>E38*C38</f>
        <v>0</v>
      </c>
      <c r="I38" s="237"/>
      <c r="J38" s="285"/>
      <c r="K38" s="232">
        <v>4200</v>
      </c>
      <c r="L38" s="221">
        <f t="shared" si="25"/>
        <v>33.530129999998209</v>
      </c>
      <c r="M38" s="222">
        <f t="shared" si="26"/>
        <v>2553.5301299999992</v>
      </c>
      <c r="N38" s="222">
        <f t="shared" si="27"/>
        <v>5073.5301299999992</v>
      </c>
      <c r="O38" s="222">
        <f t="shared" si="28"/>
        <v>7593.5301299999974</v>
      </c>
      <c r="P38" s="222">
        <f t="shared" si="29"/>
        <v>10113.530129999999</v>
      </c>
      <c r="Q38" s="222">
        <f t="shared" si="30"/>
        <v>12633.530129999999</v>
      </c>
      <c r="R38" s="222">
        <f t="shared" si="31"/>
        <v>15153.530129999999</v>
      </c>
      <c r="S38" s="222">
        <f t="shared" si="32"/>
        <v>17673.530129999999</v>
      </c>
    </row>
    <row r="39" spans="1:19" s="234" customFormat="1" x14ac:dyDescent="0.25">
      <c r="A39" s="20"/>
      <c r="B39" s="24" t="s">
        <v>48</v>
      </c>
      <c r="C39" s="34">
        <v>1</v>
      </c>
      <c r="D39" s="26" t="s">
        <v>25</v>
      </c>
      <c r="E39" s="32">
        <v>0</v>
      </c>
      <c r="F39" s="19"/>
      <c r="G39" s="14"/>
      <c r="H39" s="236">
        <f>E39*C39</f>
        <v>0</v>
      </c>
      <c r="I39" s="237"/>
      <c r="J39" s="237"/>
      <c r="K39" s="237"/>
      <c r="L39" s="237"/>
      <c r="M39" s="237"/>
      <c r="N39" s="237"/>
      <c r="O39" s="237"/>
      <c r="P39" s="237"/>
      <c r="Q39" s="237"/>
      <c r="R39" s="237"/>
      <c r="S39" s="237"/>
    </row>
    <row r="40" spans="1:19" x14ac:dyDescent="0.25">
      <c r="A40" s="20"/>
      <c r="B40" s="24" t="s">
        <v>52</v>
      </c>
      <c r="C40" s="34">
        <v>1</v>
      </c>
      <c r="D40" s="26" t="s">
        <v>25</v>
      </c>
      <c r="E40" s="32">
        <v>0</v>
      </c>
      <c r="F40" s="32"/>
      <c r="G40" s="32"/>
      <c r="H40" s="236">
        <f>E40*C40</f>
        <v>0</v>
      </c>
      <c r="I40" s="237"/>
      <c r="J40" s="242"/>
      <c r="K40" s="243"/>
      <c r="L40" s="237"/>
      <c r="M40" s="237"/>
      <c r="N40" s="237"/>
      <c r="O40" s="237"/>
      <c r="P40" s="237"/>
      <c r="Q40" s="237"/>
      <c r="R40" s="237"/>
      <c r="S40" s="237"/>
    </row>
    <row r="41" spans="1:19" x14ac:dyDescent="0.25">
      <c r="A41" s="20"/>
      <c r="B41" s="151" t="s">
        <v>134</v>
      </c>
      <c r="C41" s="34"/>
      <c r="D41" s="26" t="s">
        <v>68</v>
      </c>
      <c r="E41" s="32">
        <v>0</v>
      </c>
      <c r="F41" s="32"/>
      <c r="G41" s="32"/>
      <c r="H41" s="236">
        <f>E41*C41</f>
        <v>0</v>
      </c>
      <c r="I41" s="237"/>
      <c r="J41" s="242"/>
      <c r="K41" s="243"/>
      <c r="L41" s="237"/>
      <c r="M41" s="237"/>
      <c r="N41" s="237"/>
      <c r="O41" s="237"/>
      <c r="P41" s="237"/>
      <c r="Q41" s="237"/>
      <c r="R41" s="237"/>
      <c r="S41" s="237"/>
    </row>
    <row r="42" spans="1:19" x14ac:dyDescent="0.25">
      <c r="A42" s="73" t="s">
        <v>54</v>
      </c>
      <c r="B42" s="87"/>
      <c r="C42" s="85"/>
      <c r="D42" s="85"/>
      <c r="E42" s="85"/>
      <c r="F42" s="85"/>
      <c r="G42" s="85"/>
      <c r="H42" s="86">
        <f>SUM(H16:H41)</f>
        <v>7419.3898700000009</v>
      </c>
      <c r="I42" s="237"/>
      <c r="J42" s="237"/>
      <c r="K42" s="237"/>
      <c r="L42" s="237"/>
      <c r="M42" s="237"/>
      <c r="N42" s="237"/>
      <c r="O42" s="237"/>
      <c r="P42" s="237"/>
      <c r="Q42" s="237"/>
      <c r="R42" s="237"/>
      <c r="S42" s="237"/>
    </row>
    <row r="43" spans="1:19" x14ac:dyDescent="0.25">
      <c r="A43" s="337"/>
      <c r="B43" s="338"/>
      <c r="C43" s="338"/>
      <c r="D43" s="338"/>
      <c r="E43" s="338"/>
      <c r="F43" s="338"/>
      <c r="G43" s="338"/>
      <c r="H43" s="339"/>
      <c r="I43" s="237"/>
      <c r="J43" s="237"/>
      <c r="K43" s="237"/>
      <c r="L43" s="237"/>
      <c r="M43" s="237"/>
      <c r="N43" s="237"/>
      <c r="O43" s="237"/>
      <c r="P43" s="237"/>
      <c r="Q43" s="237"/>
      <c r="R43" s="237"/>
      <c r="S43" s="237"/>
    </row>
    <row r="44" spans="1:19" x14ac:dyDescent="0.25">
      <c r="A44" s="268" t="s">
        <v>55</v>
      </c>
      <c r="B44" s="88"/>
      <c r="C44" s="131"/>
      <c r="D44" s="88"/>
      <c r="E44" s="88"/>
      <c r="F44" s="88"/>
      <c r="G44" s="88"/>
      <c r="H44" s="89">
        <f>H13-H42</f>
        <v>4219.2976299999991</v>
      </c>
      <c r="I44" s="237"/>
      <c r="J44" s="237"/>
      <c r="K44" s="237"/>
      <c r="L44" s="237"/>
      <c r="M44" s="237"/>
      <c r="N44" s="237"/>
      <c r="O44" s="237"/>
      <c r="P44" s="237"/>
      <c r="Q44" s="237"/>
      <c r="R44" s="237"/>
      <c r="S44" s="237"/>
    </row>
    <row r="45" spans="1:19" x14ac:dyDescent="0.25">
      <c r="A45" s="129"/>
      <c r="B45" s="271"/>
      <c r="C45" s="130"/>
      <c r="D45" s="271"/>
      <c r="E45" s="271"/>
      <c r="F45" s="271"/>
      <c r="G45" s="349"/>
      <c r="H45" s="339"/>
      <c r="I45" s="237"/>
      <c r="J45" s="237"/>
      <c r="K45" s="237"/>
      <c r="L45" s="237"/>
      <c r="M45" s="237"/>
      <c r="N45" s="237"/>
      <c r="O45" s="237"/>
      <c r="P45" s="237"/>
      <c r="Q45" s="237"/>
      <c r="R45" s="237"/>
      <c r="S45" s="237"/>
    </row>
    <row r="46" spans="1:19" x14ac:dyDescent="0.25">
      <c r="A46" s="132" t="s">
        <v>96</v>
      </c>
      <c r="B46" s="133"/>
      <c r="C46" s="142" t="s">
        <v>135</v>
      </c>
      <c r="D46" s="142" t="s">
        <v>18</v>
      </c>
      <c r="E46" s="142" t="s">
        <v>19</v>
      </c>
      <c r="F46" s="132"/>
      <c r="G46" s="143"/>
      <c r="H46" s="134"/>
      <c r="I46" s="237"/>
      <c r="J46" s="237"/>
      <c r="K46" s="237"/>
      <c r="L46" s="237"/>
      <c r="M46" s="237"/>
      <c r="N46" s="237"/>
      <c r="O46" s="237"/>
      <c r="P46" s="237"/>
      <c r="Q46" s="237"/>
      <c r="R46" s="237"/>
      <c r="S46" s="237"/>
    </row>
    <row r="47" spans="1:19" x14ac:dyDescent="0.25">
      <c r="A47" s="152"/>
      <c r="B47" s="153" t="s">
        <v>56</v>
      </c>
      <c r="C47" s="177">
        <v>1</v>
      </c>
      <c r="D47" s="154" t="s">
        <v>25</v>
      </c>
      <c r="E47" s="155">
        <v>32.21</v>
      </c>
      <c r="F47" s="152"/>
      <c r="G47" s="156"/>
      <c r="H47" s="157">
        <f>E47*C47</f>
        <v>32.21</v>
      </c>
      <c r="I47" s="237"/>
      <c r="J47" s="237"/>
      <c r="K47" s="237"/>
      <c r="L47" s="237"/>
      <c r="M47" s="237"/>
      <c r="N47" s="237"/>
      <c r="O47" s="237"/>
      <c r="P47" s="237"/>
      <c r="Q47" s="237"/>
      <c r="R47" s="237"/>
      <c r="S47" s="237"/>
    </row>
    <row r="48" spans="1:19" x14ac:dyDescent="0.25">
      <c r="A48" s="152"/>
      <c r="B48" s="153" t="s">
        <v>57</v>
      </c>
      <c r="C48" s="177">
        <v>1</v>
      </c>
      <c r="D48" s="154" t="s">
        <v>25</v>
      </c>
      <c r="E48" s="155">
        <v>21.43</v>
      </c>
      <c r="F48" s="152"/>
      <c r="G48" s="156"/>
      <c r="H48" s="157">
        <f t="shared" ref="H48:H56" si="33">E48*C48</f>
        <v>21.43</v>
      </c>
      <c r="I48" s="237"/>
      <c r="J48" s="237"/>
      <c r="K48" s="237"/>
      <c r="L48" s="237"/>
      <c r="M48" s="237"/>
      <c r="N48" s="237"/>
      <c r="O48" s="237"/>
      <c r="P48" s="237"/>
      <c r="Q48" s="237"/>
      <c r="R48" s="237"/>
      <c r="S48" s="237"/>
    </row>
    <row r="49" spans="1:19" x14ac:dyDescent="0.25">
      <c r="A49" s="152"/>
      <c r="B49" s="153" t="s">
        <v>136</v>
      </c>
      <c r="C49" s="177">
        <v>1</v>
      </c>
      <c r="D49" s="154" t="s">
        <v>25</v>
      </c>
      <c r="E49" s="155">
        <v>1.5</v>
      </c>
      <c r="F49" s="152"/>
      <c r="G49" s="156"/>
      <c r="H49" s="157">
        <f t="shared" si="33"/>
        <v>1.5</v>
      </c>
      <c r="I49" s="237"/>
      <c r="J49" s="237"/>
      <c r="K49" s="237"/>
      <c r="L49" s="237"/>
      <c r="M49" s="237"/>
      <c r="N49" s="237"/>
      <c r="O49" s="237"/>
      <c r="P49" s="237"/>
      <c r="Q49" s="237"/>
      <c r="R49" s="237"/>
      <c r="S49" s="237"/>
    </row>
    <row r="50" spans="1:19" x14ac:dyDescent="0.25">
      <c r="A50" s="152"/>
      <c r="B50" s="153" t="s">
        <v>137</v>
      </c>
      <c r="C50" s="177">
        <v>1</v>
      </c>
      <c r="D50" s="154" t="s">
        <v>25</v>
      </c>
      <c r="E50" s="155">
        <v>1.8</v>
      </c>
      <c r="F50" s="152"/>
      <c r="G50" s="156"/>
      <c r="H50" s="157">
        <f t="shared" si="33"/>
        <v>1.8</v>
      </c>
      <c r="I50" s="237"/>
      <c r="J50" s="237"/>
      <c r="K50" s="237"/>
      <c r="L50" s="237"/>
      <c r="M50" s="237"/>
      <c r="N50" s="237"/>
      <c r="O50" s="237"/>
      <c r="P50" s="237"/>
      <c r="Q50" s="237"/>
      <c r="R50" s="237"/>
      <c r="S50" s="237"/>
    </row>
    <row r="51" spans="1:19" x14ac:dyDescent="0.25">
      <c r="A51" s="152"/>
      <c r="B51" s="153" t="s">
        <v>138</v>
      </c>
      <c r="C51" s="177">
        <v>1</v>
      </c>
      <c r="D51" s="154" t="s">
        <v>25</v>
      </c>
      <c r="E51" s="155">
        <v>4.1399999999999997</v>
      </c>
      <c r="F51" s="152"/>
      <c r="G51" s="156"/>
      <c r="H51" s="157">
        <f t="shared" si="33"/>
        <v>4.1399999999999997</v>
      </c>
      <c r="I51" s="237"/>
      <c r="J51" s="237"/>
      <c r="K51" s="237"/>
      <c r="L51" s="237"/>
      <c r="M51" s="237"/>
      <c r="N51" s="237"/>
      <c r="O51" s="237"/>
      <c r="P51" s="237"/>
      <c r="Q51" s="237"/>
      <c r="R51" s="237"/>
      <c r="S51" s="237"/>
    </row>
    <row r="52" spans="1:19" x14ac:dyDescent="0.25">
      <c r="A52" s="20"/>
      <c r="B52" s="57" t="s">
        <v>139</v>
      </c>
      <c r="C52" s="34">
        <v>1</v>
      </c>
      <c r="D52" s="26" t="s">
        <v>25</v>
      </c>
      <c r="E52" s="35">
        <v>20</v>
      </c>
      <c r="F52" s="35" t="s">
        <v>140</v>
      </c>
      <c r="G52" s="46">
        <v>2</v>
      </c>
      <c r="H52" s="166">
        <f>G52*E52*C52</f>
        <v>40</v>
      </c>
      <c r="I52" s="237"/>
      <c r="J52" s="237"/>
      <c r="K52" s="237"/>
      <c r="L52" s="237"/>
      <c r="M52" s="237"/>
      <c r="N52" s="237"/>
      <c r="O52" s="237"/>
      <c r="P52" s="237"/>
      <c r="Q52" s="237"/>
      <c r="R52" s="237"/>
      <c r="S52" s="237"/>
    </row>
    <row r="53" spans="1:19" x14ac:dyDescent="0.25">
      <c r="A53" s="152"/>
      <c r="B53" s="153" t="s">
        <v>64</v>
      </c>
      <c r="C53" s="177">
        <v>1</v>
      </c>
      <c r="D53" s="154" t="s">
        <v>25</v>
      </c>
      <c r="E53" s="155">
        <v>1</v>
      </c>
      <c r="F53" s="152"/>
      <c r="G53" s="156"/>
      <c r="H53" s="157">
        <f t="shared" si="33"/>
        <v>1</v>
      </c>
      <c r="I53" s="237"/>
      <c r="J53" s="237"/>
      <c r="K53" s="237"/>
      <c r="L53" s="237"/>
      <c r="M53" s="237"/>
      <c r="N53" s="237"/>
      <c r="O53" s="237"/>
      <c r="P53" s="237"/>
      <c r="Q53" s="237"/>
      <c r="R53" s="237"/>
      <c r="S53" s="237"/>
    </row>
    <row r="54" spans="1:19" x14ac:dyDescent="0.25">
      <c r="A54" s="158"/>
      <c r="B54" s="154" t="s">
        <v>65</v>
      </c>
      <c r="C54" s="177">
        <v>1</v>
      </c>
      <c r="D54" s="154" t="s">
        <v>25</v>
      </c>
      <c r="E54" s="155">
        <v>5</v>
      </c>
      <c r="F54" s="158"/>
      <c r="G54" s="159"/>
      <c r="H54" s="157">
        <f t="shared" si="33"/>
        <v>5</v>
      </c>
      <c r="I54" s="237"/>
      <c r="J54" s="237"/>
      <c r="K54" s="237"/>
      <c r="L54" s="237"/>
      <c r="M54" s="237"/>
      <c r="N54" s="237"/>
      <c r="O54" s="237"/>
      <c r="P54" s="237"/>
      <c r="Q54" s="237"/>
      <c r="R54" s="237"/>
      <c r="S54" s="237"/>
    </row>
    <row r="55" spans="1:19" x14ac:dyDescent="0.25">
      <c r="A55" s="158"/>
      <c r="B55" s="154" t="s">
        <v>66</v>
      </c>
      <c r="C55" s="177">
        <v>1</v>
      </c>
      <c r="D55" s="154" t="s">
        <v>25</v>
      </c>
      <c r="E55" s="155">
        <v>0</v>
      </c>
      <c r="F55" s="158"/>
      <c r="G55" s="159"/>
      <c r="H55" s="157">
        <f t="shared" si="33"/>
        <v>0</v>
      </c>
      <c r="I55" s="237"/>
      <c r="J55" s="237"/>
      <c r="K55" s="237"/>
      <c r="L55" s="237"/>
      <c r="M55" s="237"/>
      <c r="N55" s="237"/>
      <c r="O55" s="237"/>
      <c r="P55" s="237"/>
      <c r="Q55" s="237"/>
      <c r="R55" s="237"/>
      <c r="S55" s="237"/>
    </row>
    <row r="56" spans="1:19" x14ac:dyDescent="0.25">
      <c r="A56" s="138"/>
      <c r="B56" s="147" t="s">
        <v>67</v>
      </c>
      <c r="C56" s="177">
        <v>0</v>
      </c>
      <c r="D56" s="147" t="s">
        <v>68</v>
      </c>
      <c r="E56" s="167">
        <v>0</v>
      </c>
      <c r="F56" s="138"/>
      <c r="G56" s="138"/>
      <c r="H56" s="157">
        <f t="shared" si="33"/>
        <v>0</v>
      </c>
      <c r="I56" s="237"/>
      <c r="J56" s="237"/>
      <c r="K56" s="237"/>
      <c r="L56" s="237"/>
      <c r="M56" s="237"/>
      <c r="N56" s="237"/>
      <c r="O56" s="237"/>
      <c r="P56" s="237"/>
      <c r="Q56" s="237"/>
      <c r="R56" s="237"/>
      <c r="S56" s="237"/>
    </row>
    <row r="57" spans="1:19" x14ac:dyDescent="0.25">
      <c r="A57" s="136"/>
      <c r="B57" s="147" t="s">
        <v>70</v>
      </c>
      <c r="C57" s="177">
        <v>1</v>
      </c>
      <c r="D57" s="147" t="s">
        <v>25</v>
      </c>
      <c r="E57" s="167">
        <v>0</v>
      </c>
      <c r="F57" s="138"/>
      <c r="G57" s="139"/>
      <c r="H57" s="157">
        <f>E57*C57</f>
        <v>0</v>
      </c>
      <c r="I57" s="237"/>
      <c r="J57" s="237"/>
      <c r="K57" s="237"/>
      <c r="L57" s="237"/>
      <c r="M57" s="237"/>
      <c r="N57" s="237"/>
      <c r="O57" s="237"/>
      <c r="P57" s="237"/>
      <c r="Q57" s="237"/>
      <c r="R57" s="237"/>
      <c r="S57" s="237"/>
    </row>
    <row r="58" spans="1:19" x14ac:dyDescent="0.25">
      <c r="A58" s="346" t="s">
        <v>71</v>
      </c>
      <c r="B58" s="347"/>
      <c r="C58" s="347"/>
      <c r="D58" s="347"/>
      <c r="E58" s="347"/>
      <c r="F58" s="347"/>
      <c r="G58" s="347"/>
      <c r="H58" s="89">
        <f>SUM(H47:H57)</f>
        <v>107.08</v>
      </c>
      <c r="I58" s="237"/>
      <c r="J58" s="237"/>
      <c r="K58" s="237"/>
      <c r="L58" s="237"/>
      <c r="M58" s="237"/>
      <c r="N58" s="237"/>
      <c r="O58" s="237"/>
      <c r="P58" s="237"/>
      <c r="Q58" s="237"/>
      <c r="R58" s="237"/>
      <c r="S58" s="237"/>
    </row>
    <row r="59" spans="1:19" x14ac:dyDescent="0.25">
      <c r="A59" s="129"/>
      <c r="B59" s="273"/>
      <c r="C59" s="273"/>
      <c r="D59" s="273"/>
      <c r="E59" s="273"/>
      <c r="F59" s="273"/>
      <c r="G59" s="273"/>
      <c r="H59" s="137"/>
      <c r="I59" s="237"/>
      <c r="J59" s="237"/>
      <c r="K59" s="237"/>
      <c r="L59" s="237"/>
      <c r="M59" s="237"/>
      <c r="N59" s="237"/>
      <c r="O59" s="237"/>
      <c r="P59" s="237"/>
      <c r="Q59" s="237"/>
      <c r="R59" s="237"/>
      <c r="S59" s="237"/>
    </row>
    <row r="60" spans="1:19" x14ac:dyDescent="0.25">
      <c r="A60" s="346" t="s">
        <v>72</v>
      </c>
      <c r="B60" s="347"/>
      <c r="C60" s="347"/>
      <c r="D60" s="347"/>
      <c r="E60" s="347"/>
      <c r="F60" s="347"/>
      <c r="G60" s="348"/>
      <c r="H60" s="90">
        <f>H13-H42-H58</f>
        <v>4112.2176299999992</v>
      </c>
      <c r="I60" s="237"/>
      <c r="J60" s="237"/>
      <c r="K60" s="237"/>
      <c r="L60" s="237"/>
      <c r="M60" s="237"/>
      <c r="N60" s="237"/>
      <c r="O60" s="237"/>
      <c r="P60" s="237"/>
      <c r="Q60" s="237"/>
      <c r="R60" s="237"/>
      <c r="S60" s="237"/>
    </row>
    <row r="61" spans="1:19" x14ac:dyDescent="0.25">
      <c r="A61" s="302" t="s">
        <v>73</v>
      </c>
      <c r="B61" s="303"/>
      <c r="C61" s="303"/>
      <c r="D61" s="303"/>
      <c r="E61" s="303"/>
      <c r="F61" s="303"/>
      <c r="G61" s="303"/>
      <c r="H61" s="303"/>
      <c r="I61" s="237"/>
      <c r="J61" s="237"/>
      <c r="K61" s="237"/>
      <c r="L61" s="237"/>
      <c r="M61" s="237"/>
      <c r="N61" s="237"/>
      <c r="O61" s="237"/>
      <c r="P61" s="237"/>
      <c r="Q61" s="237"/>
      <c r="R61" s="237"/>
      <c r="S61" s="237"/>
    </row>
    <row r="62" spans="1:19" x14ac:dyDescent="0.25">
      <c r="A62" s="237"/>
      <c r="B62" s="237"/>
      <c r="C62" s="237"/>
      <c r="D62" s="237"/>
      <c r="E62" s="237"/>
      <c r="F62" s="237"/>
      <c r="G62" s="237"/>
      <c r="H62" s="237"/>
      <c r="I62" s="237"/>
      <c r="J62" s="237"/>
      <c r="K62" s="237"/>
      <c r="L62" s="237"/>
      <c r="M62" s="237"/>
      <c r="N62" s="237"/>
      <c r="O62" s="237"/>
      <c r="P62" s="237"/>
      <c r="Q62" s="237"/>
      <c r="R62" s="237"/>
      <c r="S62" s="237"/>
    </row>
    <row r="63" spans="1:19" x14ac:dyDescent="0.25">
      <c r="A63" s="237"/>
      <c r="B63" s="237"/>
      <c r="C63" s="237"/>
      <c r="D63" s="237"/>
      <c r="E63" s="237"/>
      <c r="F63" s="237"/>
      <c r="G63" s="237"/>
      <c r="H63" s="237"/>
      <c r="I63" s="237"/>
      <c r="J63" s="237"/>
      <c r="K63" s="237"/>
      <c r="L63" s="237"/>
      <c r="M63" s="237"/>
      <c r="N63" s="237"/>
      <c r="O63" s="237"/>
      <c r="P63" s="237"/>
      <c r="Q63" s="237"/>
      <c r="R63" s="237"/>
      <c r="S63" s="237"/>
    </row>
    <row r="64" spans="1:19" x14ac:dyDescent="0.25">
      <c r="A64" s="237"/>
      <c r="B64" s="237"/>
      <c r="C64" s="237"/>
      <c r="D64" s="237"/>
      <c r="E64" s="237"/>
      <c r="F64" s="237"/>
      <c r="G64" s="237"/>
      <c r="H64" s="237"/>
      <c r="I64" s="237"/>
      <c r="J64" s="237"/>
      <c r="K64" s="237"/>
      <c r="L64" s="237"/>
      <c r="M64" s="237"/>
      <c r="N64" s="237"/>
      <c r="O64" s="237"/>
      <c r="P64" s="237"/>
      <c r="Q64" s="237"/>
      <c r="R64" s="237"/>
      <c r="S64" s="237"/>
    </row>
    <row r="65" spans="1:9" x14ac:dyDescent="0.25">
      <c r="A65" s="237"/>
      <c r="B65" s="237"/>
      <c r="C65" s="237"/>
      <c r="D65" s="237"/>
      <c r="E65" s="237"/>
      <c r="F65" s="237"/>
      <c r="G65" s="237"/>
      <c r="H65" s="237"/>
      <c r="I65" s="237"/>
    </row>
    <row r="66" spans="1:9" x14ac:dyDescent="0.25">
      <c r="A66" s="237"/>
      <c r="B66" s="237"/>
      <c r="C66" s="237"/>
      <c r="D66" s="237"/>
      <c r="E66" s="237"/>
      <c r="F66" s="237"/>
      <c r="G66" s="237"/>
      <c r="H66" s="237"/>
      <c r="I66" s="237"/>
    </row>
    <row r="67" spans="1:9" x14ac:dyDescent="0.25">
      <c r="A67" s="237"/>
      <c r="B67" s="237"/>
      <c r="C67" s="237"/>
      <c r="D67" s="237"/>
      <c r="E67" s="237"/>
      <c r="F67" s="237"/>
      <c r="G67" s="237"/>
      <c r="H67" s="237"/>
      <c r="I67" s="237"/>
    </row>
    <row r="68" spans="1:9" x14ac:dyDescent="0.25">
      <c r="A68" s="237"/>
      <c r="B68" s="237"/>
      <c r="C68" s="237"/>
      <c r="D68" s="237"/>
      <c r="E68" s="237"/>
      <c r="F68" s="237"/>
      <c r="G68" s="237"/>
      <c r="H68" s="237"/>
      <c r="I68" s="237"/>
    </row>
    <row r="69" spans="1:9" x14ac:dyDescent="0.25">
      <c r="A69" s="237"/>
      <c r="B69" s="237"/>
      <c r="C69" s="237"/>
      <c r="D69" s="237"/>
      <c r="E69" s="237"/>
      <c r="F69" s="237"/>
      <c r="G69" s="237"/>
      <c r="H69" s="245"/>
      <c r="I69" s="237"/>
    </row>
    <row r="70" spans="1:9" x14ac:dyDescent="0.25">
      <c r="A70" s="237"/>
      <c r="B70" s="237"/>
      <c r="C70" s="237"/>
      <c r="D70" s="237"/>
      <c r="E70" s="237"/>
      <c r="F70" s="237"/>
      <c r="G70" s="237"/>
      <c r="H70" s="245"/>
      <c r="I70" s="237"/>
    </row>
    <row r="71" spans="1:9" x14ac:dyDescent="0.25">
      <c r="A71" s="237"/>
      <c r="B71" s="237"/>
      <c r="C71" s="237"/>
      <c r="D71" s="237"/>
      <c r="E71" s="237"/>
      <c r="F71" s="237"/>
      <c r="G71" s="237"/>
      <c r="H71" s="237"/>
      <c r="I71" s="237"/>
    </row>
    <row r="72" spans="1:9" x14ac:dyDescent="0.25">
      <c r="A72" s="237"/>
      <c r="B72" s="237"/>
      <c r="C72" s="237"/>
      <c r="D72" s="237"/>
      <c r="E72" s="237"/>
      <c r="F72" s="237"/>
      <c r="G72" s="237"/>
      <c r="H72" s="237"/>
      <c r="I72" s="237"/>
    </row>
    <row r="73" spans="1:9" x14ac:dyDescent="0.25">
      <c r="A73" s="237"/>
      <c r="B73" s="237"/>
      <c r="C73" s="237"/>
      <c r="D73" s="237"/>
      <c r="E73" s="237"/>
      <c r="F73" s="237"/>
      <c r="G73" s="237"/>
      <c r="H73" s="237"/>
      <c r="I73" s="237"/>
    </row>
    <row r="74" spans="1:9" x14ac:dyDescent="0.25">
      <c r="A74" s="237"/>
      <c r="B74" s="237"/>
      <c r="C74" s="237"/>
      <c r="D74" s="237"/>
      <c r="E74" s="237"/>
      <c r="F74" s="237"/>
      <c r="G74" s="237"/>
      <c r="H74" s="237"/>
      <c r="I74" s="237"/>
    </row>
    <row r="75" spans="1:9" x14ac:dyDescent="0.25">
      <c r="A75" s="237"/>
      <c r="B75" s="237"/>
      <c r="C75" s="237"/>
      <c r="D75" s="237"/>
      <c r="E75" s="237"/>
      <c r="F75" s="237"/>
      <c r="G75" s="237"/>
      <c r="H75" s="237"/>
      <c r="I75" s="237"/>
    </row>
    <row r="76" spans="1:9" x14ac:dyDescent="0.25">
      <c r="A76" s="237"/>
      <c r="B76" s="237"/>
      <c r="C76" s="237"/>
      <c r="D76" s="237"/>
      <c r="E76" s="237"/>
      <c r="F76" s="237"/>
      <c r="G76" s="237"/>
      <c r="H76" s="237"/>
      <c r="I76" s="237"/>
    </row>
    <row r="77" spans="1:9" x14ac:dyDescent="0.25">
      <c r="A77" s="237"/>
      <c r="B77" s="237"/>
      <c r="C77" s="237"/>
      <c r="D77" s="237"/>
      <c r="E77" s="237"/>
      <c r="F77" s="237"/>
      <c r="G77" s="237"/>
      <c r="H77" s="237"/>
      <c r="I77" s="237"/>
    </row>
    <row r="78" spans="1:9" x14ac:dyDescent="0.25">
      <c r="A78" s="237"/>
      <c r="B78" s="237"/>
      <c r="C78" s="237"/>
      <c r="D78" s="237"/>
      <c r="E78" s="237"/>
      <c r="F78" s="237"/>
      <c r="G78" s="237"/>
      <c r="H78" s="237"/>
      <c r="I78" s="237"/>
    </row>
    <row r="79" spans="1:9" x14ac:dyDescent="0.25">
      <c r="A79" s="237"/>
      <c r="B79" s="237"/>
      <c r="C79" s="237"/>
      <c r="D79" s="237"/>
      <c r="E79" s="237"/>
      <c r="F79" s="237"/>
      <c r="G79" s="237"/>
      <c r="H79" s="237"/>
      <c r="I79" s="237"/>
    </row>
    <row r="80" spans="1:9" x14ac:dyDescent="0.25">
      <c r="A80" s="237"/>
      <c r="B80" s="237"/>
      <c r="C80" s="237"/>
      <c r="D80" s="237"/>
      <c r="E80" s="237"/>
      <c r="F80" s="237"/>
      <c r="G80" s="237"/>
      <c r="H80" s="237"/>
      <c r="I80" s="237"/>
    </row>
    <row r="81" spans="1:8" x14ac:dyDescent="0.25">
      <c r="A81" s="237"/>
      <c r="B81" s="237"/>
      <c r="C81" s="237"/>
      <c r="D81" s="237"/>
      <c r="E81" s="237"/>
      <c r="F81" s="237"/>
      <c r="G81" s="237"/>
      <c r="H81" s="237"/>
    </row>
    <row r="82" spans="1:8" x14ac:dyDescent="0.25">
      <c r="A82" s="237"/>
      <c r="B82" s="237"/>
      <c r="C82" s="237"/>
      <c r="D82" s="237"/>
      <c r="E82" s="237"/>
      <c r="F82" s="237"/>
      <c r="G82" s="237"/>
      <c r="H82" s="237"/>
    </row>
    <row r="83" spans="1:8" x14ac:dyDescent="0.25">
      <c r="A83" s="237"/>
      <c r="B83" s="237"/>
      <c r="C83" s="237"/>
      <c r="D83" s="237"/>
      <c r="E83" s="237"/>
      <c r="F83" s="237"/>
      <c r="G83" s="237"/>
      <c r="H83" s="237"/>
    </row>
    <row r="84" spans="1:8" x14ac:dyDescent="0.25">
      <c r="A84" s="237"/>
      <c r="B84" s="237"/>
      <c r="C84" s="237"/>
      <c r="D84" s="237"/>
      <c r="E84" s="237"/>
      <c r="F84" s="237"/>
      <c r="G84" s="237"/>
      <c r="H84" s="237"/>
    </row>
    <row r="85" spans="1:8" x14ac:dyDescent="0.25">
      <c r="A85" s="237"/>
      <c r="B85" s="237"/>
      <c r="C85" s="237"/>
      <c r="D85" s="237"/>
      <c r="E85" s="237"/>
      <c r="F85" s="237"/>
      <c r="G85" s="237"/>
      <c r="H85" s="237"/>
    </row>
    <row r="86" spans="1:8" x14ac:dyDescent="0.25">
      <c r="A86" s="237"/>
      <c r="B86" s="237"/>
      <c r="C86" s="237"/>
      <c r="D86" s="237"/>
      <c r="E86" s="237"/>
      <c r="F86" s="237"/>
      <c r="G86" s="237"/>
      <c r="H86" s="237"/>
    </row>
    <row r="87" spans="1:8" x14ac:dyDescent="0.25">
      <c r="A87" s="237"/>
      <c r="B87" s="237"/>
      <c r="C87" s="237"/>
      <c r="D87" s="237"/>
      <c r="E87" s="237"/>
      <c r="F87" s="237"/>
      <c r="G87" s="237"/>
      <c r="H87" s="237"/>
    </row>
    <row r="88" spans="1:8" x14ac:dyDescent="0.25">
      <c r="A88" s="237"/>
      <c r="B88" s="237"/>
      <c r="C88" s="237"/>
      <c r="D88" s="237"/>
      <c r="E88" s="237"/>
      <c r="F88" s="237"/>
      <c r="G88" s="237"/>
      <c r="H88" s="237"/>
    </row>
    <row r="89" spans="1:8" x14ac:dyDescent="0.25">
      <c r="A89" s="237"/>
      <c r="B89" s="237"/>
      <c r="C89" s="237"/>
      <c r="D89" s="237"/>
      <c r="E89" s="237"/>
      <c r="F89" s="237"/>
      <c r="G89" s="237"/>
      <c r="H89" s="237"/>
    </row>
    <row r="90" spans="1:8" x14ac:dyDescent="0.25">
      <c r="A90" s="237"/>
      <c r="B90" s="237"/>
      <c r="C90" s="237"/>
      <c r="D90" s="237"/>
      <c r="E90" s="237"/>
      <c r="F90" s="237"/>
      <c r="G90" s="237"/>
      <c r="H90" s="237"/>
    </row>
    <row r="91" spans="1:8" x14ac:dyDescent="0.25">
      <c r="A91" s="237"/>
      <c r="B91" s="237"/>
      <c r="C91" s="237"/>
      <c r="D91" s="237"/>
      <c r="E91" s="237"/>
      <c r="F91" s="237"/>
      <c r="G91" s="237"/>
      <c r="H91" s="237"/>
    </row>
    <row r="92" spans="1:8" x14ac:dyDescent="0.25">
      <c r="A92" s="237"/>
      <c r="B92" s="237"/>
      <c r="C92" s="237"/>
      <c r="D92" s="237"/>
      <c r="E92" s="237"/>
      <c r="F92" s="237"/>
      <c r="G92" s="237"/>
      <c r="H92" s="237"/>
    </row>
    <row r="93" spans="1:8" x14ac:dyDescent="0.25">
      <c r="A93" s="237"/>
      <c r="B93" s="237"/>
      <c r="C93" s="237"/>
      <c r="D93" s="237"/>
      <c r="E93" s="237"/>
      <c r="F93" s="237"/>
      <c r="G93" s="237"/>
      <c r="H93" s="237"/>
    </row>
    <row r="94" spans="1:8" x14ac:dyDescent="0.25">
      <c r="A94" s="237"/>
      <c r="B94" s="237"/>
      <c r="C94" s="237"/>
      <c r="D94" s="237"/>
      <c r="E94" s="237"/>
      <c r="F94" s="237"/>
      <c r="G94" s="237"/>
      <c r="H94" s="237"/>
    </row>
    <row r="95" spans="1:8" x14ac:dyDescent="0.25">
      <c r="A95" s="237"/>
      <c r="B95" s="237"/>
      <c r="C95" s="237"/>
      <c r="D95" s="237"/>
      <c r="E95" s="237"/>
      <c r="F95" s="237"/>
      <c r="G95" s="237"/>
      <c r="H95" s="237"/>
    </row>
    <row r="96" spans="1:8" x14ac:dyDescent="0.25">
      <c r="A96" s="237"/>
      <c r="B96" s="237"/>
      <c r="C96" s="237"/>
      <c r="D96" s="237"/>
      <c r="E96" s="237"/>
      <c r="F96" s="237"/>
      <c r="G96" s="237"/>
      <c r="H96" s="237"/>
    </row>
    <row r="97" spans="1:1" x14ac:dyDescent="0.25">
      <c r="A97" s="237"/>
    </row>
    <row r="98" spans="1:1" x14ac:dyDescent="0.25">
      <c r="A98" s="237"/>
    </row>
    <row r="99" spans="1:1" x14ac:dyDescent="0.25">
      <c r="A99" s="237"/>
    </row>
    <row r="100" spans="1:1" x14ac:dyDescent="0.25">
      <c r="A100" s="237"/>
    </row>
    <row r="101" spans="1:1" x14ac:dyDescent="0.25">
      <c r="A101" s="237"/>
    </row>
    <row r="102" spans="1:1" x14ac:dyDescent="0.25">
      <c r="A102" s="237"/>
    </row>
    <row r="103" spans="1:1" x14ac:dyDescent="0.25">
      <c r="A103" s="237"/>
    </row>
    <row r="104" spans="1:1" x14ac:dyDescent="0.25">
      <c r="A104" s="237"/>
    </row>
    <row r="105" spans="1:1" x14ac:dyDescent="0.25">
      <c r="A105" s="237"/>
    </row>
    <row r="106" spans="1:1" x14ac:dyDescent="0.25">
      <c r="A106" s="237"/>
    </row>
    <row r="107" spans="1:1" x14ac:dyDescent="0.25">
      <c r="A107" s="237"/>
    </row>
    <row r="108" spans="1:1" x14ac:dyDescent="0.25">
      <c r="A108" s="237"/>
    </row>
    <row r="109" spans="1:1" x14ac:dyDescent="0.25">
      <c r="A109" s="237"/>
    </row>
    <row r="110" spans="1:1" x14ac:dyDescent="0.25">
      <c r="A110" s="237"/>
    </row>
    <row r="111" spans="1:1" x14ac:dyDescent="0.25">
      <c r="A111" s="237"/>
    </row>
    <row r="112" spans="1:1" x14ac:dyDescent="0.25">
      <c r="A112" s="237"/>
    </row>
    <row r="113" spans="1:1" x14ac:dyDescent="0.25">
      <c r="A113" s="237"/>
    </row>
    <row r="114" spans="1:1" x14ac:dyDescent="0.25">
      <c r="A114" s="237"/>
    </row>
    <row r="115" spans="1:1" x14ac:dyDescent="0.25">
      <c r="A115" s="237"/>
    </row>
    <row r="116" spans="1:1" x14ac:dyDescent="0.25">
      <c r="A116" s="237"/>
    </row>
    <row r="117" spans="1:1" x14ac:dyDescent="0.25">
      <c r="A117" s="237"/>
    </row>
    <row r="118" spans="1:1" x14ac:dyDescent="0.25">
      <c r="A118" s="237"/>
    </row>
    <row r="119" spans="1:1" x14ac:dyDescent="0.25">
      <c r="A119" s="237"/>
    </row>
    <row r="120" spans="1:1" x14ac:dyDescent="0.25">
      <c r="A120" s="237"/>
    </row>
    <row r="121" spans="1:1" x14ac:dyDescent="0.25">
      <c r="A121" s="237"/>
    </row>
    <row r="122" spans="1:1" x14ac:dyDescent="0.25">
      <c r="A122" s="237"/>
    </row>
    <row r="123" spans="1:1" x14ac:dyDescent="0.25">
      <c r="A123" s="237"/>
    </row>
    <row r="124" spans="1:1" x14ac:dyDescent="0.25">
      <c r="A124" s="237"/>
    </row>
    <row r="125" spans="1:1" x14ac:dyDescent="0.25">
      <c r="A125" s="237"/>
    </row>
    <row r="126" spans="1:1" x14ac:dyDescent="0.25">
      <c r="A126" s="237"/>
    </row>
    <row r="127" spans="1:1" x14ac:dyDescent="0.25">
      <c r="A127" s="237"/>
    </row>
    <row r="128" spans="1:1" x14ac:dyDescent="0.25">
      <c r="A128" s="237"/>
    </row>
    <row r="129" spans="1:1" x14ac:dyDescent="0.25">
      <c r="A129" s="237"/>
    </row>
    <row r="130" spans="1:1" x14ac:dyDescent="0.25">
      <c r="A130" s="237"/>
    </row>
    <row r="131" spans="1:1" x14ac:dyDescent="0.25">
      <c r="A131" s="237"/>
    </row>
    <row r="132" spans="1:1" x14ac:dyDescent="0.25">
      <c r="A132" s="237"/>
    </row>
    <row r="133" spans="1:1" x14ac:dyDescent="0.25">
      <c r="A133" s="237"/>
    </row>
    <row r="134" spans="1:1" x14ac:dyDescent="0.25">
      <c r="A134" s="237"/>
    </row>
    <row r="135" spans="1:1" x14ac:dyDescent="0.25">
      <c r="A135" s="237"/>
    </row>
    <row r="136" spans="1:1" x14ac:dyDescent="0.25">
      <c r="A136" s="237"/>
    </row>
    <row r="137" spans="1:1" x14ac:dyDescent="0.25">
      <c r="A137" s="237"/>
    </row>
    <row r="138" spans="1:1" x14ac:dyDescent="0.25">
      <c r="A138" s="237"/>
    </row>
    <row r="139" spans="1:1" x14ac:dyDescent="0.25">
      <c r="A139" s="237"/>
    </row>
    <row r="140" spans="1:1" x14ac:dyDescent="0.25">
      <c r="A140" s="237"/>
    </row>
    <row r="141" spans="1:1" x14ac:dyDescent="0.25">
      <c r="A141" s="237"/>
    </row>
    <row r="142" spans="1:1" x14ac:dyDescent="0.25">
      <c r="A142" s="237"/>
    </row>
    <row r="143" spans="1:1" x14ac:dyDescent="0.25">
      <c r="A143" s="237"/>
    </row>
    <row r="144" spans="1:1" x14ac:dyDescent="0.25">
      <c r="A144" s="237"/>
    </row>
    <row r="145" spans="1:1" x14ac:dyDescent="0.25">
      <c r="A145" s="237"/>
    </row>
    <row r="146" spans="1:1" x14ac:dyDescent="0.25">
      <c r="A146" s="237"/>
    </row>
    <row r="147" spans="1:1" x14ac:dyDescent="0.25">
      <c r="A147" s="237"/>
    </row>
    <row r="148" spans="1:1" x14ac:dyDescent="0.25">
      <c r="A148" s="237"/>
    </row>
    <row r="149" spans="1:1" x14ac:dyDescent="0.25">
      <c r="A149" s="237"/>
    </row>
    <row r="150" spans="1:1" x14ac:dyDescent="0.25">
      <c r="A150" s="237"/>
    </row>
    <row r="151" spans="1:1" x14ac:dyDescent="0.25">
      <c r="A151" s="237"/>
    </row>
    <row r="152" spans="1:1" x14ac:dyDescent="0.25">
      <c r="A152" s="237"/>
    </row>
    <row r="153" spans="1:1" x14ac:dyDescent="0.25">
      <c r="A153" s="237"/>
    </row>
    <row r="154" spans="1:1" x14ac:dyDescent="0.25">
      <c r="A154" s="237"/>
    </row>
    <row r="155" spans="1:1" x14ac:dyDescent="0.25">
      <c r="A155" s="237"/>
    </row>
    <row r="156" spans="1:1" x14ac:dyDescent="0.25">
      <c r="A156" s="237"/>
    </row>
    <row r="157" spans="1:1" x14ac:dyDescent="0.25">
      <c r="A157" s="237"/>
    </row>
    <row r="158" spans="1:1" x14ac:dyDescent="0.25">
      <c r="A158" s="237"/>
    </row>
    <row r="159" spans="1:1" x14ac:dyDescent="0.25">
      <c r="A159" s="237"/>
    </row>
    <row r="160" spans="1:1" x14ac:dyDescent="0.25">
      <c r="A160" s="237"/>
    </row>
    <row r="161" spans="1:1" x14ac:dyDescent="0.25">
      <c r="A161" s="237"/>
    </row>
    <row r="162" spans="1:1" x14ac:dyDescent="0.25">
      <c r="A162" s="237"/>
    </row>
    <row r="163" spans="1:1" x14ac:dyDescent="0.25">
      <c r="A163" s="237"/>
    </row>
    <row r="164" spans="1:1" x14ac:dyDescent="0.25">
      <c r="A164" s="237"/>
    </row>
    <row r="165" spans="1:1" x14ac:dyDescent="0.25">
      <c r="A165" s="237"/>
    </row>
    <row r="166" spans="1:1" x14ac:dyDescent="0.25">
      <c r="A166" s="237"/>
    </row>
    <row r="167" spans="1:1" x14ac:dyDescent="0.25">
      <c r="A167" s="237"/>
    </row>
    <row r="168" spans="1:1" x14ac:dyDescent="0.25">
      <c r="A168" s="237"/>
    </row>
    <row r="169" spans="1:1" x14ac:dyDescent="0.25">
      <c r="A169" s="237"/>
    </row>
    <row r="170" spans="1:1" x14ac:dyDescent="0.25">
      <c r="A170" s="237"/>
    </row>
    <row r="171" spans="1:1" x14ac:dyDescent="0.25">
      <c r="A171" s="237"/>
    </row>
    <row r="172" spans="1:1" x14ac:dyDescent="0.25">
      <c r="A172" s="237"/>
    </row>
    <row r="173" spans="1:1" x14ac:dyDescent="0.25">
      <c r="A173" s="237"/>
    </row>
    <row r="174" spans="1:1" x14ac:dyDescent="0.25">
      <c r="A174" s="237"/>
    </row>
    <row r="175" spans="1:1" x14ac:dyDescent="0.25">
      <c r="A175" s="237"/>
    </row>
    <row r="176" spans="1:1" x14ac:dyDescent="0.25">
      <c r="A176" s="237"/>
    </row>
    <row r="177" spans="1:1" x14ac:dyDescent="0.25">
      <c r="A177" s="237"/>
    </row>
    <row r="178" spans="1:1" x14ac:dyDescent="0.25">
      <c r="A178" s="237"/>
    </row>
    <row r="179" spans="1:1" x14ac:dyDescent="0.25">
      <c r="A179" s="237"/>
    </row>
    <row r="180" spans="1:1" x14ac:dyDescent="0.25">
      <c r="A180" s="237"/>
    </row>
    <row r="181" spans="1:1" x14ac:dyDescent="0.25">
      <c r="A181" s="237"/>
    </row>
    <row r="182" spans="1:1" x14ac:dyDescent="0.25">
      <c r="A182" s="237"/>
    </row>
    <row r="183" spans="1:1" x14ac:dyDescent="0.25">
      <c r="A183" s="237"/>
    </row>
    <row r="184" spans="1:1" x14ac:dyDescent="0.25">
      <c r="A184" s="237"/>
    </row>
    <row r="185" spans="1:1" x14ac:dyDescent="0.25">
      <c r="A185" s="237"/>
    </row>
    <row r="186" spans="1:1" x14ac:dyDescent="0.25">
      <c r="A186" s="237"/>
    </row>
    <row r="187" spans="1:1" x14ac:dyDescent="0.25">
      <c r="A187" s="237"/>
    </row>
    <row r="188" spans="1:1" x14ac:dyDescent="0.25">
      <c r="A188" s="237"/>
    </row>
    <row r="189" spans="1:1" x14ac:dyDescent="0.25">
      <c r="A189" s="237"/>
    </row>
    <row r="190" spans="1:1" x14ac:dyDescent="0.25">
      <c r="A190" s="237"/>
    </row>
    <row r="191" spans="1:1" x14ac:dyDescent="0.25">
      <c r="A191" s="237"/>
    </row>
    <row r="192" spans="1:1" x14ac:dyDescent="0.25">
      <c r="A192" s="237"/>
    </row>
    <row r="193" spans="1:1" x14ac:dyDescent="0.25">
      <c r="A193" s="237"/>
    </row>
    <row r="194" spans="1:1" x14ac:dyDescent="0.25">
      <c r="A194" s="237"/>
    </row>
    <row r="195" spans="1:1" x14ac:dyDescent="0.25">
      <c r="A195" s="237"/>
    </row>
    <row r="196" spans="1:1" x14ac:dyDescent="0.25">
      <c r="A196" s="237"/>
    </row>
    <row r="197" spans="1:1" x14ac:dyDescent="0.25">
      <c r="A197" s="237"/>
    </row>
    <row r="198" spans="1:1" x14ac:dyDescent="0.25">
      <c r="A198" s="237"/>
    </row>
    <row r="199" spans="1:1" x14ac:dyDescent="0.25">
      <c r="A199" s="237"/>
    </row>
    <row r="200" spans="1:1" x14ac:dyDescent="0.25">
      <c r="A200" s="237"/>
    </row>
    <row r="201" spans="1:1" x14ac:dyDescent="0.25">
      <c r="A201" s="237"/>
    </row>
    <row r="202" spans="1:1" x14ac:dyDescent="0.25">
      <c r="A202" s="237"/>
    </row>
    <row r="203" spans="1:1" x14ac:dyDescent="0.25">
      <c r="A203" s="237"/>
    </row>
    <row r="204" spans="1:1" x14ac:dyDescent="0.25">
      <c r="A204" s="237"/>
    </row>
    <row r="205" spans="1:1" x14ac:dyDescent="0.25">
      <c r="A205" s="237"/>
    </row>
    <row r="206" spans="1:1" x14ac:dyDescent="0.25">
      <c r="A206" s="237"/>
    </row>
    <row r="207" spans="1:1" x14ac:dyDescent="0.25">
      <c r="A207" s="237"/>
    </row>
    <row r="208" spans="1:1" x14ac:dyDescent="0.25">
      <c r="A208" s="237"/>
    </row>
    <row r="209" spans="1:1" x14ac:dyDescent="0.25">
      <c r="A209" s="237"/>
    </row>
    <row r="210" spans="1:1" x14ac:dyDescent="0.25">
      <c r="A210" s="237"/>
    </row>
    <row r="211" spans="1:1" x14ac:dyDescent="0.25">
      <c r="A211" s="237"/>
    </row>
    <row r="212" spans="1:1" x14ac:dyDescent="0.25">
      <c r="A212" s="237"/>
    </row>
    <row r="213" spans="1:1" x14ac:dyDescent="0.25">
      <c r="A213" s="237"/>
    </row>
    <row r="214" spans="1:1" x14ac:dyDescent="0.25">
      <c r="A214" s="237"/>
    </row>
    <row r="215" spans="1:1" x14ac:dyDescent="0.25">
      <c r="A215" s="237"/>
    </row>
    <row r="216" spans="1:1" x14ac:dyDescent="0.25">
      <c r="A216" s="237"/>
    </row>
    <row r="217" spans="1:1" x14ac:dyDescent="0.25">
      <c r="A217" s="237"/>
    </row>
    <row r="218" spans="1:1" x14ac:dyDescent="0.25">
      <c r="A218" s="237"/>
    </row>
    <row r="219" spans="1:1" x14ac:dyDescent="0.25">
      <c r="A219" s="237"/>
    </row>
    <row r="220" spans="1:1" x14ac:dyDescent="0.25">
      <c r="A220" s="237"/>
    </row>
    <row r="221" spans="1:1" x14ac:dyDescent="0.25">
      <c r="A221" s="237"/>
    </row>
    <row r="222" spans="1:1" x14ac:dyDescent="0.25">
      <c r="A222" s="237"/>
    </row>
    <row r="223" spans="1:1" x14ac:dyDescent="0.25">
      <c r="A223" s="237"/>
    </row>
    <row r="224" spans="1:1" x14ac:dyDescent="0.25">
      <c r="A224" s="237"/>
    </row>
    <row r="225" spans="1:1" x14ac:dyDescent="0.25">
      <c r="A225" s="237"/>
    </row>
    <row r="226" spans="1:1" x14ac:dyDescent="0.25">
      <c r="A226" s="237"/>
    </row>
    <row r="227" spans="1:1" x14ac:dyDescent="0.25">
      <c r="A227" s="237"/>
    </row>
    <row r="228" spans="1:1" x14ac:dyDescent="0.25">
      <c r="A228" s="237"/>
    </row>
    <row r="229" spans="1:1" x14ac:dyDescent="0.25">
      <c r="A229" s="237"/>
    </row>
    <row r="230" spans="1:1" x14ac:dyDescent="0.25">
      <c r="A230" s="237"/>
    </row>
    <row r="231" spans="1:1" x14ac:dyDescent="0.25">
      <c r="A231" s="237"/>
    </row>
    <row r="232" spans="1:1" x14ac:dyDescent="0.25">
      <c r="A232" s="237"/>
    </row>
    <row r="233" spans="1:1" x14ac:dyDescent="0.25">
      <c r="A233" s="237"/>
    </row>
    <row r="234" spans="1:1" x14ac:dyDescent="0.25">
      <c r="A234" s="237"/>
    </row>
    <row r="235" spans="1:1" x14ac:dyDescent="0.25">
      <c r="A235" s="237"/>
    </row>
    <row r="236" spans="1:1" x14ac:dyDescent="0.25">
      <c r="A236" s="237"/>
    </row>
    <row r="237" spans="1:1" x14ac:dyDescent="0.25">
      <c r="A237" s="237"/>
    </row>
    <row r="238" spans="1:1" x14ac:dyDescent="0.25">
      <c r="A238" s="237"/>
    </row>
    <row r="239" spans="1:1" x14ac:dyDescent="0.25">
      <c r="A239" s="237"/>
    </row>
    <row r="240" spans="1:1" x14ac:dyDescent="0.25">
      <c r="A240" s="237"/>
    </row>
    <row r="241" spans="1:1" x14ac:dyDescent="0.25">
      <c r="A241" s="237"/>
    </row>
    <row r="242" spans="1:1" x14ac:dyDescent="0.25">
      <c r="A242" s="237"/>
    </row>
    <row r="243" spans="1:1" x14ac:dyDescent="0.25">
      <c r="A243" s="237"/>
    </row>
    <row r="244" spans="1:1" x14ac:dyDescent="0.25">
      <c r="A244" s="237"/>
    </row>
    <row r="245" spans="1:1" x14ac:dyDescent="0.25">
      <c r="A245" s="237"/>
    </row>
    <row r="246" spans="1:1" x14ac:dyDescent="0.25">
      <c r="A246" s="237"/>
    </row>
    <row r="247" spans="1:1" x14ac:dyDescent="0.25">
      <c r="A247" s="237"/>
    </row>
    <row r="248" spans="1:1" x14ac:dyDescent="0.25">
      <c r="A248" s="237"/>
    </row>
    <row r="249" spans="1:1" x14ac:dyDescent="0.25">
      <c r="A249" s="237"/>
    </row>
    <row r="250" spans="1:1" x14ac:dyDescent="0.25">
      <c r="A250" s="237"/>
    </row>
    <row r="251" spans="1:1" x14ac:dyDescent="0.25">
      <c r="A251" s="237"/>
    </row>
    <row r="252" spans="1:1" x14ac:dyDescent="0.25">
      <c r="A252" s="237"/>
    </row>
    <row r="253" spans="1:1" x14ac:dyDescent="0.25">
      <c r="A253" s="237"/>
    </row>
    <row r="254" spans="1:1" x14ac:dyDescent="0.25">
      <c r="A254" s="237"/>
    </row>
    <row r="255" spans="1:1" x14ac:dyDescent="0.25">
      <c r="A255" s="237"/>
    </row>
    <row r="256" spans="1:1" x14ac:dyDescent="0.25">
      <c r="A256" s="237"/>
    </row>
    <row r="257" spans="1:1" x14ac:dyDescent="0.25">
      <c r="A257" s="237"/>
    </row>
    <row r="258" spans="1:1" x14ac:dyDescent="0.25">
      <c r="A258" s="237"/>
    </row>
    <row r="259" spans="1:1" x14ac:dyDescent="0.25">
      <c r="A259" s="237"/>
    </row>
    <row r="260" spans="1:1" x14ac:dyDescent="0.25">
      <c r="A260" s="237"/>
    </row>
    <row r="261" spans="1:1" x14ac:dyDescent="0.25">
      <c r="A261" s="237"/>
    </row>
    <row r="262" spans="1:1" x14ac:dyDescent="0.25">
      <c r="A262" s="237"/>
    </row>
    <row r="263" spans="1:1" x14ac:dyDescent="0.25">
      <c r="A263" s="237"/>
    </row>
    <row r="264" spans="1:1" x14ac:dyDescent="0.25">
      <c r="A264" s="237"/>
    </row>
    <row r="265" spans="1:1" x14ac:dyDescent="0.25">
      <c r="A265" s="237"/>
    </row>
    <row r="266" spans="1:1" x14ac:dyDescent="0.25">
      <c r="A266" s="237"/>
    </row>
    <row r="267" spans="1:1" x14ac:dyDescent="0.25">
      <c r="A267" s="237"/>
    </row>
    <row r="268" spans="1:1" x14ac:dyDescent="0.25">
      <c r="A268" s="237"/>
    </row>
    <row r="269" spans="1:1" x14ac:dyDescent="0.25">
      <c r="A269" s="237"/>
    </row>
    <row r="270" spans="1:1" x14ac:dyDescent="0.25">
      <c r="A270" s="237"/>
    </row>
    <row r="271" spans="1:1" x14ac:dyDescent="0.25">
      <c r="A271" s="237"/>
    </row>
    <row r="272" spans="1:1" x14ac:dyDescent="0.25">
      <c r="A272" s="237"/>
    </row>
    <row r="273" spans="1:1" x14ac:dyDescent="0.25">
      <c r="A273" s="237"/>
    </row>
    <row r="274" spans="1:1" x14ac:dyDescent="0.25">
      <c r="A274" s="237"/>
    </row>
    <row r="275" spans="1:1" x14ac:dyDescent="0.25">
      <c r="A275" s="237"/>
    </row>
    <row r="276" spans="1:1" x14ac:dyDescent="0.25">
      <c r="A276" s="237"/>
    </row>
    <row r="277" spans="1:1" x14ac:dyDescent="0.25">
      <c r="A277" s="237"/>
    </row>
    <row r="278" spans="1:1" x14ac:dyDescent="0.25">
      <c r="A278" s="237"/>
    </row>
    <row r="279" spans="1:1" x14ac:dyDescent="0.25">
      <c r="A279" s="237"/>
    </row>
    <row r="280" spans="1:1" x14ac:dyDescent="0.25">
      <c r="A280" s="237"/>
    </row>
    <row r="281" spans="1:1" x14ac:dyDescent="0.25">
      <c r="A281" s="237"/>
    </row>
    <row r="282" spans="1:1" x14ac:dyDescent="0.25">
      <c r="A282" s="237"/>
    </row>
    <row r="283" spans="1:1" x14ac:dyDescent="0.25">
      <c r="A283" s="237"/>
    </row>
    <row r="284" spans="1:1" x14ac:dyDescent="0.25">
      <c r="A284" s="237"/>
    </row>
    <row r="285" spans="1:1" x14ac:dyDescent="0.25">
      <c r="A285" s="237"/>
    </row>
    <row r="286" spans="1:1" x14ac:dyDescent="0.25">
      <c r="A286" s="237"/>
    </row>
    <row r="287" spans="1:1" x14ac:dyDescent="0.25">
      <c r="A287" s="237"/>
    </row>
    <row r="288" spans="1:1" x14ac:dyDescent="0.25">
      <c r="A288" s="237"/>
    </row>
    <row r="289" spans="1:1" x14ac:dyDescent="0.25">
      <c r="A289" s="237"/>
    </row>
    <row r="290" spans="1:1" x14ac:dyDescent="0.25">
      <c r="A290" s="237"/>
    </row>
    <row r="291" spans="1:1" x14ac:dyDescent="0.25">
      <c r="A291" s="237"/>
    </row>
    <row r="292" spans="1:1" x14ac:dyDescent="0.25">
      <c r="A292" s="237"/>
    </row>
    <row r="293" spans="1:1" x14ac:dyDescent="0.25">
      <c r="A293" s="237"/>
    </row>
    <row r="294" spans="1:1" x14ac:dyDescent="0.25">
      <c r="A294" s="237"/>
    </row>
    <row r="295" spans="1:1" x14ac:dyDescent="0.25">
      <c r="A295" s="237"/>
    </row>
    <row r="296" spans="1:1" x14ac:dyDescent="0.25">
      <c r="A296" s="237"/>
    </row>
    <row r="297" spans="1:1" x14ac:dyDescent="0.25">
      <c r="A297" s="237"/>
    </row>
    <row r="298" spans="1:1" x14ac:dyDescent="0.25">
      <c r="A298" s="237"/>
    </row>
    <row r="299" spans="1:1" x14ac:dyDescent="0.25">
      <c r="A299" s="237"/>
    </row>
    <row r="300" spans="1:1" x14ac:dyDescent="0.25">
      <c r="A300" s="237"/>
    </row>
    <row r="301" spans="1:1" x14ac:dyDescent="0.25">
      <c r="A301" s="237"/>
    </row>
    <row r="302" spans="1:1" x14ac:dyDescent="0.25">
      <c r="A302" s="237"/>
    </row>
    <row r="303" spans="1:1" x14ac:dyDescent="0.25">
      <c r="A303" s="237"/>
    </row>
    <row r="304" spans="1:1" x14ac:dyDescent="0.25">
      <c r="A304" s="237"/>
    </row>
    <row r="305" spans="1:1" x14ac:dyDescent="0.25">
      <c r="A305" s="237"/>
    </row>
    <row r="306" spans="1:1" x14ac:dyDescent="0.25">
      <c r="A306" s="237"/>
    </row>
    <row r="307" spans="1:1" x14ac:dyDescent="0.25">
      <c r="A307" s="237"/>
    </row>
    <row r="308" spans="1:1" x14ac:dyDescent="0.25">
      <c r="A308" s="237"/>
    </row>
    <row r="309" spans="1:1" x14ac:dyDescent="0.25">
      <c r="A309" s="237"/>
    </row>
    <row r="310" spans="1:1" x14ac:dyDescent="0.25">
      <c r="A310" s="237"/>
    </row>
    <row r="311" spans="1:1" x14ac:dyDescent="0.25">
      <c r="A311" s="237"/>
    </row>
    <row r="312" spans="1:1" x14ac:dyDescent="0.25">
      <c r="A312" s="237"/>
    </row>
    <row r="313" spans="1:1" x14ac:dyDescent="0.25">
      <c r="A313" s="237"/>
    </row>
    <row r="314" spans="1:1" x14ac:dyDescent="0.25">
      <c r="A314" s="237"/>
    </row>
    <row r="315" spans="1:1" x14ac:dyDescent="0.25">
      <c r="A315" s="237"/>
    </row>
    <row r="316" spans="1:1" x14ac:dyDescent="0.25">
      <c r="A316" s="237"/>
    </row>
    <row r="317" spans="1:1" x14ac:dyDescent="0.25">
      <c r="A317" s="237"/>
    </row>
    <row r="318" spans="1:1" x14ac:dyDescent="0.25">
      <c r="A318" s="237"/>
    </row>
    <row r="319" spans="1:1" x14ac:dyDescent="0.25">
      <c r="A319" s="237"/>
    </row>
    <row r="320" spans="1:1" x14ac:dyDescent="0.25">
      <c r="A320" s="237"/>
    </row>
    <row r="321" spans="1:1" x14ac:dyDescent="0.25">
      <c r="A321" s="237"/>
    </row>
    <row r="322" spans="1:1" x14ac:dyDescent="0.25">
      <c r="A322" s="237"/>
    </row>
    <row r="323" spans="1:1" x14ac:dyDescent="0.25">
      <c r="A323" s="237"/>
    </row>
    <row r="324" spans="1:1" x14ac:dyDescent="0.25">
      <c r="A324" s="237"/>
    </row>
    <row r="325" spans="1:1" x14ac:dyDescent="0.25">
      <c r="A325" s="237"/>
    </row>
    <row r="326" spans="1:1" x14ac:dyDescent="0.25">
      <c r="A326" s="237"/>
    </row>
    <row r="327" spans="1:1" x14ac:dyDescent="0.25">
      <c r="A327" s="237"/>
    </row>
    <row r="328" spans="1:1" x14ac:dyDescent="0.25">
      <c r="A328" s="237"/>
    </row>
    <row r="329" spans="1:1" x14ac:dyDescent="0.25">
      <c r="A329" s="237"/>
    </row>
    <row r="330" spans="1:1" x14ac:dyDescent="0.25">
      <c r="A330" s="237"/>
    </row>
    <row r="331" spans="1:1" x14ac:dyDescent="0.25">
      <c r="A331" s="237"/>
    </row>
    <row r="332" spans="1:1" x14ac:dyDescent="0.25">
      <c r="A332" s="237"/>
    </row>
    <row r="333" spans="1:1" x14ac:dyDescent="0.25">
      <c r="A333" s="237"/>
    </row>
    <row r="334" spans="1:1" x14ac:dyDescent="0.25">
      <c r="A334" s="237"/>
    </row>
    <row r="335" spans="1:1" x14ac:dyDescent="0.25">
      <c r="A335" s="237"/>
    </row>
    <row r="336" spans="1:1" x14ac:dyDescent="0.25">
      <c r="A336" s="237"/>
    </row>
    <row r="337" spans="1:1" x14ac:dyDescent="0.25">
      <c r="A337" s="237"/>
    </row>
    <row r="338" spans="1:1" x14ac:dyDescent="0.25">
      <c r="A338" s="237"/>
    </row>
    <row r="339" spans="1:1" x14ac:dyDescent="0.25">
      <c r="A339" s="237"/>
    </row>
    <row r="340" spans="1:1" x14ac:dyDescent="0.25">
      <c r="A340" s="237"/>
    </row>
    <row r="341" spans="1:1" x14ac:dyDescent="0.25">
      <c r="A341" s="237"/>
    </row>
    <row r="342" spans="1:1" x14ac:dyDescent="0.25">
      <c r="A342" s="237"/>
    </row>
    <row r="343" spans="1:1" x14ac:dyDescent="0.25">
      <c r="A343" s="237"/>
    </row>
    <row r="344" spans="1:1" x14ac:dyDescent="0.25">
      <c r="A344" s="237"/>
    </row>
    <row r="345" spans="1:1" x14ac:dyDescent="0.25">
      <c r="A345" s="237"/>
    </row>
    <row r="346" spans="1:1" x14ac:dyDescent="0.25">
      <c r="A346" s="237"/>
    </row>
    <row r="347" spans="1:1" x14ac:dyDescent="0.25">
      <c r="A347" s="237"/>
    </row>
    <row r="348" spans="1:1" x14ac:dyDescent="0.25">
      <c r="A348" s="237"/>
    </row>
    <row r="349" spans="1:1" x14ac:dyDescent="0.25">
      <c r="A349" s="237"/>
    </row>
    <row r="350" spans="1:1" x14ac:dyDescent="0.25">
      <c r="A350" s="237"/>
    </row>
    <row r="351" spans="1:1" x14ac:dyDescent="0.25">
      <c r="A351" s="237"/>
    </row>
    <row r="352" spans="1:1" x14ac:dyDescent="0.25">
      <c r="A352" s="237"/>
    </row>
    <row r="353" spans="1:1" x14ac:dyDescent="0.25">
      <c r="A353" s="237"/>
    </row>
    <row r="354" spans="1:1" x14ac:dyDescent="0.25">
      <c r="A354" s="237"/>
    </row>
    <row r="355" spans="1:1" x14ac:dyDescent="0.25">
      <c r="A355" s="237"/>
    </row>
    <row r="356" spans="1:1" x14ac:dyDescent="0.25">
      <c r="A356" s="237"/>
    </row>
    <row r="357" spans="1:1" x14ac:dyDescent="0.25">
      <c r="A357" s="237"/>
    </row>
    <row r="358" spans="1:1" x14ac:dyDescent="0.25">
      <c r="A358" s="237"/>
    </row>
    <row r="359" spans="1:1" x14ac:dyDescent="0.25">
      <c r="A359" s="237"/>
    </row>
    <row r="360" spans="1:1" x14ac:dyDescent="0.25">
      <c r="A360" s="237"/>
    </row>
    <row r="361" spans="1:1" x14ac:dyDescent="0.25">
      <c r="A361" s="237"/>
    </row>
    <row r="362" spans="1:1" x14ac:dyDescent="0.25">
      <c r="A362" s="237"/>
    </row>
    <row r="363" spans="1:1" x14ac:dyDescent="0.25">
      <c r="A363" s="237"/>
    </row>
    <row r="364" spans="1:1" x14ac:dyDescent="0.25">
      <c r="A364" s="237"/>
    </row>
    <row r="365" spans="1:1" x14ac:dyDescent="0.25">
      <c r="A365" s="237"/>
    </row>
    <row r="366" spans="1:1" x14ac:dyDescent="0.25">
      <c r="A366" s="237"/>
    </row>
    <row r="367" spans="1:1" x14ac:dyDescent="0.25">
      <c r="A367" s="237"/>
    </row>
    <row r="368" spans="1:1" x14ac:dyDescent="0.25">
      <c r="A368" s="237"/>
    </row>
    <row r="369" spans="1:1" x14ac:dyDescent="0.25">
      <c r="A369" s="237"/>
    </row>
  </sheetData>
  <dataConsolidate/>
  <mergeCells count="16">
    <mergeCell ref="A61:H61"/>
    <mergeCell ref="A60:G60"/>
    <mergeCell ref="G45:H45"/>
    <mergeCell ref="A43:H43"/>
    <mergeCell ref="C15:H15"/>
    <mergeCell ref="A58:G58"/>
    <mergeCell ref="K2:S3"/>
    <mergeCell ref="A1:H1"/>
    <mergeCell ref="C4:H4"/>
    <mergeCell ref="J4:J10"/>
    <mergeCell ref="A14:H14"/>
    <mergeCell ref="H5:H10"/>
    <mergeCell ref="D9:E10"/>
    <mergeCell ref="F5:G10"/>
    <mergeCell ref="D5:D6"/>
    <mergeCell ref="J13:J38"/>
  </mergeCells>
  <dataValidations count="1">
    <dataValidation type="list" allowBlank="1" showInputMessage="1" showErrorMessage="1" sqref="E8">
      <formula1>$G$63:$G$70</formula1>
    </dataValidation>
  </dataValidations>
  <pageMargins left="0.7" right="0.7" top="0.75" bottom="0.75" header="0.3" footer="0.3"/>
  <pageSetup scale="94"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Spacing!$B$2:$B$38</xm:f>
          </x14:formula1>
          <xm:sqref>C7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37" zoomScaleNormal="100" workbookViewId="0">
      <selection activeCell="E54" sqref="E54"/>
    </sheetView>
  </sheetViews>
  <sheetFormatPr defaultColWidth="9.140625" defaultRowHeight="15" x14ac:dyDescent="0.25"/>
  <cols>
    <col min="1" max="1" width="9.140625" style="107"/>
    <col min="2" max="2" width="33.28515625" style="107" customWidth="1"/>
    <col min="3" max="3" width="11.140625" style="107" bestFit="1" customWidth="1"/>
    <col min="4" max="4" width="13" style="107" bestFit="1" customWidth="1"/>
    <col min="5" max="5" width="9.85546875" style="107" bestFit="1" customWidth="1"/>
    <col min="6" max="6" width="14.42578125" style="107" customWidth="1"/>
    <col min="7" max="7" width="9.85546875" style="107" customWidth="1"/>
    <col min="8" max="8" width="12.7109375" style="107" bestFit="1" customWidth="1"/>
    <col min="9" max="9" width="9.140625" style="107"/>
    <col min="10" max="10" width="8.85546875" style="107" customWidth="1"/>
    <col min="11" max="11" width="5.7109375" style="107" customWidth="1"/>
    <col min="12" max="12" width="10" style="107" customWidth="1"/>
    <col min="13" max="13" width="10.7109375" style="107" customWidth="1"/>
    <col min="14" max="14" width="11" style="107" customWidth="1"/>
    <col min="15" max="15" width="11.85546875" style="107" customWidth="1"/>
    <col min="16" max="16" width="10.42578125" style="107" customWidth="1"/>
    <col min="17" max="17" width="10" style="107" customWidth="1"/>
    <col min="18" max="18" width="9.7109375" style="107" customWidth="1"/>
    <col min="19" max="19" width="10" style="107" bestFit="1" customWidth="1"/>
    <col min="20" max="16384" width="9.140625" style="107"/>
  </cols>
  <sheetData>
    <row r="1" spans="1:19" ht="15.75" x14ac:dyDescent="0.25">
      <c r="A1" s="321" t="s">
        <v>141</v>
      </c>
      <c r="B1" s="354"/>
      <c r="C1" s="354"/>
      <c r="D1" s="354"/>
      <c r="E1" s="354"/>
      <c r="F1" s="354"/>
      <c r="G1" s="354"/>
      <c r="H1" s="355"/>
      <c r="I1" s="237"/>
      <c r="J1" s="213" t="s">
        <v>15</v>
      </c>
      <c r="K1" s="214"/>
      <c r="L1" s="214"/>
      <c r="M1" s="214"/>
      <c r="N1" s="214"/>
      <c r="O1" s="214"/>
      <c r="P1" s="214"/>
      <c r="Q1" s="214"/>
      <c r="R1" s="214"/>
      <c r="S1" s="214"/>
    </row>
    <row r="2" spans="1:19" x14ac:dyDescent="0.25">
      <c r="A2" s="1"/>
      <c r="B2" s="1"/>
      <c r="C2" s="1"/>
      <c r="D2" s="1"/>
      <c r="E2" s="1"/>
      <c r="F2" s="1"/>
      <c r="G2" s="1"/>
      <c r="H2" s="1"/>
      <c r="I2" s="237"/>
      <c r="J2" s="215"/>
      <c r="K2" s="283" t="s">
        <v>109</v>
      </c>
      <c r="L2" s="284"/>
      <c r="M2" s="284"/>
      <c r="N2" s="284"/>
      <c r="O2" s="284"/>
      <c r="P2" s="284"/>
      <c r="Q2" s="284"/>
      <c r="R2" s="284"/>
      <c r="S2" s="284"/>
    </row>
    <row r="3" spans="1:19" x14ac:dyDescent="0.25">
      <c r="A3" s="2"/>
      <c r="B3" s="2"/>
      <c r="C3" s="3" t="s">
        <v>17</v>
      </c>
      <c r="D3" s="3" t="s">
        <v>18</v>
      </c>
      <c r="E3" s="3" t="s">
        <v>19</v>
      </c>
      <c r="F3" s="3"/>
      <c r="G3" s="3"/>
      <c r="H3" s="3" t="s">
        <v>20</v>
      </c>
      <c r="I3" s="237"/>
      <c r="J3" s="215"/>
      <c r="K3" s="286"/>
      <c r="L3" s="286"/>
      <c r="M3" s="286"/>
      <c r="N3" s="286"/>
      <c r="O3" s="286"/>
      <c r="P3" s="286"/>
      <c r="Q3" s="286"/>
      <c r="R3" s="286"/>
      <c r="S3" s="286"/>
    </row>
    <row r="4" spans="1:19" x14ac:dyDescent="0.25">
      <c r="A4" s="79" t="s">
        <v>21</v>
      </c>
      <c r="B4" s="80"/>
      <c r="C4" s="324"/>
      <c r="D4" s="325"/>
      <c r="E4" s="325"/>
      <c r="F4" s="325"/>
      <c r="G4" s="325"/>
      <c r="H4" s="326"/>
      <c r="I4" s="237"/>
      <c r="J4" s="289" t="s">
        <v>110</v>
      </c>
      <c r="K4" s="216"/>
      <c r="L4" s="217">
        <v>0.03</v>
      </c>
      <c r="M4" s="217">
        <v>0.04</v>
      </c>
      <c r="N4" s="217">
        <v>0.05</v>
      </c>
      <c r="O4" s="217">
        <v>0.06</v>
      </c>
      <c r="P4" s="217">
        <v>7.0000000000000007E-2</v>
      </c>
      <c r="Q4" s="217">
        <v>0.08</v>
      </c>
      <c r="R4" s="217">
        <v>0.09</v>
      </c>
      <c r="S4" s="217">
        <v>0.1</v>
      </c>
    </row>
    <row r="5" spans="1:19" x14ac:dyDescent="0.25">
      <c r="A5" s="1"/>
      <c r="B5" s="1" t="s">
        <v>81</v>
      </c>
      <c r="C5" s="40">
        <v>7.4999999999999997E-2</v>
      </c>
      <c r="D5" s="359"/>
      <c r="E5" s="303"/>
      <c r="F5" s="303"/>
      <c r="G5" s="303"/>
      <c r="H5" s="303"/>
      <c r="I5" s="237"/>
      <c r="J5" s="336"/>
      <c r="K5" s="218">
        <v>0.2</v>
      </c>
      <c r="L5" s="219">
        <f t="shared" ref="L5:L10" si="0">(($L$4*K5)*100)*$C$11-$H$47-$H$63</f>
        <v>-5425.4521600000016</v>
      </c>
      <c r="M5" s="220">
        <f t="shared" ref="M5:M10" si="1">(($M$4*K5)*100)*$C$11-$H$47-$H$63</f>
        <v>-5094.3961600000011</v>
      </c>
      <c r="N5" s="220">
        <f t="shared" ref="N5:N10" si="2">(($N$4*K5)*100)*$C$11-$H$47-$H$63</f>
        <v>-4763.3401600000007</v>
      </c>
      <c r="O5" s="220">
        <f t="shared" ref="O5:O10" si="3">(($O$4*K5)*100)*$C$11-$H$47-$H$63</f>
        <v>-4432.284160000002</v>
      </c>
      <c r="P5" s="220">
        <f t="shared" ref="P5:P10" si="4">(($P$4*K5)*100)*$C$11-$H$47-$H$63</f>
        <v>-4101.2281600000006</v>
      </c>
      <c r="Q5" s="220">
        <f t="shared" ref="Q5:Q10" si="5">(($Q$4*K5)*100)*$C$11-$H$47-$H$63</f>
        <v>-3770.172160000001</v>
      </c>
      <c r="R5" s="220">
        <f t="shared" ref="R5:R10" si="6">((K5*$R$4)*100)*$C$11-$H$47-$H$63</f>
        <v>-3439.1161600000019</v>
      </c>
      <c r="S5" s="220">
        <f t="shared" ref="S5:S10" si="7">((K5*$S$4)*100)*$C$11-$H$47-$H$63</f>
        <v>-3108.0601600000005</v>
      </c>
    </row>
    <row r="6" spans="1:19" x14ac:dyDescent="0.25">
      <c r="A6" s="1"/>
      <c r="B6" s="4" t="s">
        <v>82</v>
      </c>
      <c r="C6" s="5">
        <v>0.6</v>
      </c>
      <c r="D6" s="345"/>
      <c r="E6" s="285"/>
      <c r="F6" s="285"/>
      <c r="G6" s="285"/>
      <c r="H6" s="285"/>
      <c r="I6" s="237"/>
      <c r="J6" s="336"/>
      <c r="K6" s="218">
        <v>0.4</v>
      </c>
      <c r="L6" s="221">
        <f t="shared" si="0"/>
        <v>-4432.284160000002</v>
      </c>
      <c r="M6" s="222">
        <f t="shared" si="1"/>
        <v>-3770.172160000001</v>
      </c>
      <c r="N6" s="222">
        <f t="shared" si="2"/>
        <v>-3108.0601600000005</v>
      </c>
      <c r="O6" s="222">
        <f t="shared" si="3"/>
        <v>-2445.9481600000017</v>
      </c>
      <c r="P6" s="222">
        <f t="shared" si="4"/>
        <v>-1783.8361600000007</v>
      </c>
      <c r="Q6" s="222">
        <f t="shared" si="5"/>
        <v>-1121.7241600000007</v>
      </c>
      <c r="R6" s="222">
        <f t="shared" si="6"/>
        <v>-459.61216000000235</v>
      </c>
      <c r="S6" s="222">
        <f t="shared" si="7"/>
        <v>202.49984000000046</v>
      </c>
    </row>
    <row r="7" spans="1:19" x14ac:dyDescent="0.25">
      <c r="A7" s="1"/>
      <c r="B7" s="1" t="s">
        <v>112</v>
      </c>
      <c r="C7" s="255" t="s">
        <v>142</v>
      </c>
      <c r="D7" s="275"/>
      <c r="E7" s="253"/>
      <c r="F7" s="360"/>
      <c r="G7" s="341"/>
      <c r="H7" s="341"/>
      <c r="I7" s="237"/>
      <c r="J7" s="336"/>
      <c r="K7" s="218">
        <v>0.6</v>
      </c>
      <c r="L7" s="221">
        <f t="shared" si="0"/>
        <v>-3439.1161600000019</v>
      </c>
      <c r="M7" s="222">
        <f t="shared" si="1"/>
        <v>-2445.9481600000017</v>
      </c>
      <c r="N7" s="222">
        <f t="shared" si="2"/>
        <v>-1452.7801600000012</v>
      </c>
      <c r="O7" s="222">
        <f t="shared" si="3"/>
        <v>-459.61216000000235</v>
      </c>
      <c r="P7" s="222">
        <f t="shared" si="4"/>
        <v>533.55583999999908</v>
      </c>
      <c r="Q7" s="222">
        <f t="shared" si="5"/>
        <v>1526.7238399999978</v>
      </c>
      <c r="R7" s="222">
        <f t="shared" si="6"/>
        <v>2519.8918399999993</v>
      </c>
      <c r="S7" s="222">
        <f t="shared" si="7"/>
        <v>3513.059839999999</v>
      </c>
    </row>
    <row r="8" spans="1:19" s="237" customFormat="1" x14ac:dyDescent="0.25">
      <c r="A8" s="1"/>
      <c r="B8" s="1" t="s">
        <v>114</v>
      </c>
      <c r="C8" s="257">
        <f>43560/(VALUE(LEFT(C7,1))*VALUE(RIGHT(C7,1)))</f>
        <v>1742.4</v>
      </c>
      <c r="D8" s="274"/>
      <c r="E8" s="274"/>
      <c r="F8" s="360"/>
      <c r="G8" s="341"/>
      <c r="H8" s="341"/>
      <c r="J8" s="336"/>
      <c r="K8" s="218">
        <v>0.8</v>
      </c>
      <c r="L8" s="221">
        <f t="shared" si="0"/>
        <v>-2445.9481600000017</v>
      </c>
      <c r="M8" s="222">
        <f t="shared" si="1"/>
        <v>-1121.7241600000007</v>
      </c>
      <c r="N8" s="222">
        <f t="shared" si="2"/>
        <v>202.49984000000046</v>
      </c>
      <c r="O8" s="222">
        <f t="shared" si="3"/>
        <v>1526.7238399999978</v>
      </c>
      <c r="P8" s="222">
        <f t="shared" si="4"/>
        <v>2850.9478399999998</v>
      </c>
      <c r="Q8" s="222">
        <f t="shared" si="5"/>
        <v>4175.17184</v>
      </c>
      <c r="R8" s="222">
        <f t="shared" si="6"/>
        <v>5499.3958399999965</v>
      </c>
      <c r="S8" s="222">
        <f t="shared" si="7"/>
        <v>6823.6198400000021</v>
      </c>
    </row>
    <row r="9" spans="1:19" x14ac:dyDescent="0.25">
      <c r="A9" s="1"/>
      <c r="B9" s="20" t="s">
        <v>115</v>
      </c>
      <c r="C9" s="140">
        <v>1</v>
      </c>
      <c r="D9" s="361"/>
      <c r="E9" s="341"/>
      <c r="F9" s="341"/>
      <c r="G9" s="341"/>
      <c r="H9" s="341"/>
      <c r="I9" s="237"/>
      <c r="J9" s="336"/>
      <c r="K9" s="218">
        <v>1</v>
      </c>
      <c r="L9" s="221">
        <f t="shared" si="0"/>
        <v>-1452.7801600000012</v>
      </c>
      <c r="M9" s="222">
        <f t="shared" si="1"/>
        <v>202.49983999999864</v>
      </c>
      <c r="N9" s="222">
        <f t="shared" si="2"/>
        <v>1857.7798399999983</v>
      </c>
      <c r="O9" s="222">
        <f t="shared" si="3"/>
        <v>3513.059839999999</v>
      </c>
      <c r="P9" s="222">
        <f t="shared" si="4"/>
        <v>5168.3398399999996</v>
      </c>
      <c r="Q9" s="222">
        <f t="shared" si="5"/>
        <v>6823.6198399999985</v>
      </c>
      <c r="R9" s="222">
        <f t="shared" si="6"/>
        <v>8478.89984</v>
      </c>
      <c r="S9" s="222">
        <f t="shared" si="7"/>
        <v>10134.179839999999</v>
      </c>
    </row>
    <row r="10" spans="1:19" x14ac:dyDescent="0.25">
      <c r="A10" s="1"/>
      <c r="B10" s="20" t="s">
        <v>116</v>
      </c>
      <c r="C10" s="140">
        <v>0.95</v>
      </c>
      <c r="D10" s="362"/>
      <c r="E10" s="287"/>
      <c r="F10" s="341"/>
      <c r="G10" s="341"/>
      <c r="H10" s="341"/>
      <c r="I10" s="237"/>
      <c r="J10" s="336"/>
      <c r="K10" s="218">
        <v>1.2</v>
      </c>
      <c r="L10" s="221">
        <f t="shared" si="0"/>
        <v>-459.61216000000235</v>
      </c>
      <c r="M10" s="222">
        <f t="shared" si="1"/>
        <v>1526.7238399999978</v>
      </c>
      <c r="N10" s="222">
        <f t="shared" si="2"/>
        <v>3513.059839999999</v>
      </c>
      <c r="O10" s="222">
        <f t="shared" si="3"/>
        <v>5499.3958399999965</v>
      </c>
      <c r="P10" s="222">
        <f t="shared" si="4"/>
        <v>7485.7318399999995</v>
      </c>
      <c r="Q10" s="222">
        <f t="shared" si="5"/>
        <v>9472.0678399999979</v>
      </c>
      <c r="R10" s="222">
        <f t="shared" si="6"/>
        <v>11458.403840000001</v>
      </c>
      <c r="S10" s="222">
        <f t="shared" si="7"/>
        <v>13444.73984</v>
      </c>
    </row>
    <row r="11" spans="1:19" x14ac:dyDescent="0.25">
      <c r="A11" s="1"/>
      <c r="B11" s="135" t="s">
        <v>117</v>
      </c>
      <c r="C11" s="6">
        <f>C8*C9*C10</f>
        <v>1655.28</v>
      </c>
      <c r="D11" s="7" t="s">
        <v>23</v>
      </c>
      <c r="E11" s="8">
        <f>(C6*C5)*100</f>
        <v>4.5</v>
      </c>
      <c r="F11" s="251"/>
      <c r="G11" s="251"/>
      <c r="H11" s="252">
        <f>E11*C11</f>
        <v>7448.76</v>
      </c>
      <c r="I11" s="237"/>
      <c r="J11" s="237"/>
      <c r="K11" s="237"/>
      <c r="L11" s="237"/>
      <c r="M11" s="237"/>
      <c r="N11" s="237"/>
      <c r="O11" s="237"/>
      <c r="P11" s="237"/>
      <c r="Q11" s="237"/>
      <c r="R11" s="237"/>
      <c r="S11" s="237"/>
    </row>
    <row r="12" spans="1:19" x14ac:dyDescent="0.25">
      <c r="A12" s="1"/>
      <c r="B12" s="128" t="s">
        <v>24</v>
      </c>
      <c r="C12" s="140">
        <v>1</v>
      </c>
      <c r="D12" s="7" t="s">
        <v>25</v>
      </c>
      <c r="E12" s="8">
        <v>0</v>
      </c>
      <c r="F12" s="8"/>
      <c r="G12" s="8"/>
      <c r="H12" s="9">
        <f>E12*C12</f>
        <v>0</v>
      </c>
      <c r="I12" s="237"/>
      <c r="J12" s="223"/>
      <c r="K12" s="223"/>
      <c r="L12" s="223"/>
      <c r="M12" s="223"/>
      <c r="N12" s="223"/>
      <c r="O12" s="223"/>
      <c r="P12" s="223"/>
      <c r="Q12" s="223"/>
      <c r="R12" s="223"/>
      <c r="S12" s="223"/>
    </row>
    <row r="13" spans="1:19" x14ac:dyDescent="0.25">
      <c r="A13" s="79" t="s">
        <v>26</v>
      </c>
      <c r="B13" s="81"/>
      <c r="C13" s="75"/>
      <c r="D13" s="75"/>
      <c r="E13" s="76"/>
      <c r="F13" s="76"/>
      <c r="G13" s="76"/>
      <c r="H13" s="76">
        <f>H12+H11</f>
        <v>7448.76</v>
      </c>
      <c r="I13" s="237"/>
      <c r="J13" s="215"/>
      <c r="K13" s="215"/>
      <c r="L13" s="215"/>
      <c r="M13" s="215"/>
      <c r="N13" s="215"/>
      <c r="O13" s="224" t="s">
        <v>119</v>
      </c>
      <c r="P13" s="215"/>
      <c r="Q13" s="225">
        <f>C6</f>
        <v>0.6</v>
      </c>
      <c r="R13" s="226" t="s">
        <v>120</v>
      </c>
      <c r="S13" s="215"/>
    </row>
    <row r="14" spans="1:19" x14ac:dyDescent="0.25">
      <c r="A14" s="1"/>
      <c r="B14" s="1"/>
      <c r="C14" s="7"/>
      <c r="D14" s="7"/>
      <c r="E14" s="7"/>
      <c r="F14" s="7"/>
      <c r="G14" s="7"/>
      <c r="H14" s="7"/>
      <c r="I14" s="237"/>
      <c r="J14" s="215"/>
      <c r="K14" s="215"/>
      <c r="L14" s="215"/>
      <c r="M14" s="215"/>
      <c r="N14" s="215"/>
      <c r="O14" s="215"/>
      <c r="P14" s="215"/>
      <c r="Q14" s="215"/>
      <c r="R14" s="215"/>
      <c r="S14" s="215"/>
    </row>
    <row r="15" spans="1:19" ht="15" customHeight="1" x14ac:dyDescent="0.25">
      <c r="A15" s="73" t="s">
        <v>27</v>
      </c>
      <c r="B15" s="74"/>
      <c r="C15" s="327"/>
      <c r="D15" s="328"/>
      <c r="E15" s="328"/>
      <c r="F15" s="328"/>
      <c r="G15" s="328"/>
      <c r="H15" s="329"/>
      <c r="I15" s="237"/>
      <c r="J15" s="289" t="s">
        <v>118</v>
      </c>
      <c r="K15" s="216"/>
      <c r="L15" s="227">
        <v>0.03</v>
      </c>
      <c r="M15" s="227">
        <v>0.04</v>
      </c>
      <c r="N15" s="227">
        <v>0.05</v>
      </c>
      <c r="O15" s="227">
        <v>0.06</v>
      </c>
      <c r="P15" s="227">
        <v>7.0000000000000007E-2</v>
      </c>
      <c r="Q15" s="227">
        <v>0.08</v>
      </c>
      <c r="R15" s="227">
        <v>0.09</v>
      </c>
      <c r="S15" s="227">
        <v>0.1</v>
      </c>
    </row>
    <row r="16" spans="1:19" x14ac:dyDescent="0.25">
      <c r="A16" s="1"/>
      <c r="B16" s="1" t="s">
        <v>121</v>
      </c>
      <c r="C16" s="168">
        <f>+C8</f>
        <v>1742.4</v>
      </c>
      <c r="D16" s="7" t="s">
        <v>122</v>
      </c>
      <c r="E16" s="11">
        <v>2.17</v>
      </c>
      <c r="F16" s="11"/>
      <c r="G16" s="11"/>
      <c r="H16" s="9">
        <f>E16*C16</f>
        <v>3781.0080000000003</v>
      </c>
      <c r="I16" s="237"/>
      <c r="J16" s="289"/>
      <c r="K16" s="228">
        <v>900</v>
      </c>
      <c r="L16" s="222">
        <f>((($L$15*$C$6)*100)*K16)-$H$47-$H$63</f>
        <v>-4798.6201600000013</v>
      </c>
      <c r="M16" s="222">
        <f t="shared" ref="M16:M25" si="8">((($M$15*$C$6)*100)*K16)-$H$47-$H$63</f>
        <v>-4258.6201600000013</v>
      </c>
      <c r="N16" s="222">
        <f t="shared" ref="N16:N25" si="9">((($N$15*$C$6)*100)*K16)-$H$47-$H$63</f>
        <v>-3718.6201600000013</v>
      </c>
      <c r="O16" s="222">
        <f t="shared" ref="O16:O25" si="10">((($O$15*$C$6)*100)*K16)-$H$47-$H$63</f>
        <v>-3178.6201600000018</v>
      </c>
      <c r="P16" s="222">
        <f t="shared" ref="P16:P25" si="11">((($P$15*$C$6)*100)*K16)-$H$47-$H$63</f>
        <v>-2638.6201600000013</v>
      </c>
      <c r="Q16" s="222">
        <f t="shared" ref="Q16:Q25" si="12">((($Q$15*$C$6)*100)*K16)-$H$47-$H$63</f>
        <v>-2098.6201600000013</v>
      </c>
      <c r="R16" s="222">
        <f t="shared" ref="R16:R25" si="13">((($R$15*$C$6)*100)*K16)-$H$47-$H$63</f>
        <v>-1558.6201600000013</v>
      </c>
      <c r="S16" s="222">
        <f t="shared" ref="S16:S25" si="14">((($S$15*$C$6)*100)*K16)-$H$47-$H$63</f>
        <v>-1018.6201600000013</v>
      </c>
    </row>
    <row r="17" spans="1:19" x14ac:dyDescent="0.25">
      <c r="A17" s="1"/>
      <c r="B17" s="160" t="s">
        <v>143</v>
      </c>
      <c r="C17" s="169">
        <v>1</v>
      </c>
      <c r="D17" s="161" t="s">
        <v>124</v>
      </c>
      <c r="E17" s="162">
        <v>0</v>
      </c>
      <c r="F17" s="162"/>
      <c r="G17" s="162"/>
      <c r="H17" s="163">
        <f>E17*C17</f>
        <v>0</v>
      </c>
      <c r="I17" s="237"/>
      <c r="J17" s="289"/>
      <c r="K17" s="228">
        <v>1000</v>
      </c>
      <c r="L17" s="222">
        <f t="shared" ref="L17:L25" si="15">((($L$15*$C$6)*100)*K17)-$H$47-$H$63</f>
        <v>-4618.6201600000013</v>
      </c>
      <c r="M17" s="222">
        <f t="shared" si="8"/>
        <v>-4018.6201600000013</v>
      </c>
      <c r="N17" s="222">
        <f t="shared" si="9"/>
        <v>-3418.6201600000013</v>
      </c>
      <c r="O17" s="222">
        <f t="shared" si="10"/>
        <v>-2818.6201600000018</v>
      </c>
      <c r="P17" s="222">
        <f t="shared" si="11"/>
        <v>-2218.6201600000013</v>
      </c>
      <c r="Q17" s="222">
        <f t="shared" si="12"/>
        <v>-1618.6201600000013</v>
      </c>
      <c r="R17" s="222">
        <f t="shared" si="13"/>
        <v>-1018.6201600000013</v>
      </c>
      <c r="S17" s="222">
        <f t="shared" si="14"/>
        <v>-418.62016000000125</v>
      </c>
    </row>
    <row r="18" spans="1:19" x14ac:dyDescent="0.25">
      <c r="A18" s="1"/>
      <c r="B18" s="1" t="s">
        <v>29</v>
      </c>
      <c r="C18" s="168">
        <v>100</v>
      </c>
      <c r="D18" s="7" t="s">
        <v>30</v>
      </c>
      <c r="E18" s="11">
        <v>0.4</v>
      </c>
      <c r="F18" s="11"/>
      <c r="G18" s="11"/>
      <c r="H18" s="9">
        <f t="shared" ref="H18:H36" si="16">C18*E18</f>
        <v>40</v>
      </c>
      <c r="I18" s="237"/>
      <c r="J18" s="289"/>
      <c r="K18" s="228">
        <v>1100</v>
      </c>
      <c r="L18" s="222">
        <f t="shared" si="15"/>
        <v>-4438.6201600000013</v>
      </c>
      <c r="M18" s="222">
        <f t="shared" si="8"/>
        <v>-3778.6201600000013</v>
      </c>
      <c r="N18" s="222">
        <f t="shared" si="9"/>
        <v>-3118.6201600000013</v>
      </c>
      <c r="O18" s="222">
        <f t="shared" si="10"/>
        <v>-2458.6201600000018</v>
      </c>
      <c r="P18" s="222">
        <f t="shared" si="11"/>
        <v>-1798.6201600000013</v>
      </c>
      <c r="Q18" s="222">
        <f t="shared" si="12"/>
        <v>-1138.6201600000013</v>
      </c>
      <c r="R18" s="222">
        <f t="shared" si="13"/>
        <v>-478.62016000000125</v>
      </c>
      <c r="S18" s="222">
        <f t="shared" si="14"/>
        <v>181.37983999999875</v>
      </c>
    </row>
    <row r="19" spans="1:19" x14ac:dyDescent="0.25">
      <c r="A19" s="1"/>
      <c r="B19" s="1" t="s">
        <v>31</v>
      </c>
      <c r="C19" s="170">
        <v>30</v>
      </c>
      <c r="D19" s="7" t="s">
        <v>30</v>
      </c>
      <c r="E19" s="11">
        <v>0.3</v>
      </c>
      <c r="F19" s="11"/>
      <c r="G19" s="11"/>
      <c r="H19" s="9">
        <f t="shared" si="16"/>
        <v>9</v>
      </c>
      <c r="I19" s="237"/>
      <c r="J19" s="289"/>
      <c r="K19" s="228">
        <v>1200</v>
      </c>
      <c r="L19" s="222">
        <f t="shared" si="15"/>
        <v>-4258.6201600000013</v>
      </c>
      <c r="M19" s="222">
        <f t="shared" si="8"/>
        <v>-3538.6201600000013</v>
      </c>
      <c r="N19" s="222">
        <f t="shared" si="9"/>
        <v>-2818.6201600000013</v>
      </c>
      <c r="O19" s="222">
        <f t="shared" si="10"/>
        <v>-2098.6201600000013</v>
      </c>
      <c r="P19" s="222">
        <f t="shared" si="11"/>
        <v>-1378.6201600000013</v>
      </c>
      <c r="Q19" s="222">
        <f t="shared" si="12"/>
        <v>-658.62016000000131</v>
      </c>
      <c r="R19" s="222">
        <f t="shared" si="13"/>
        <v>61.379839999998737</v>
      </c>
      <c r="S19" s="222">
        <f t="shared" si="14"/>
        <v>781.37983999999869</v>
      </c>
    </row>
    <row r="20" spans="1:19" x14ac:dyDescent="0.25">
      <c r="A20" s="1"/>
      <c r="B20" s="1" t="s">
        <v>32</v>
      </c>
      <c r="C20" s="170">
        <v>45</v>
      </c>
      <c r="D20" s="7" t="s">
        <v>30</v>
      </c>
      <c r="E20" s="11">
        <v>0.3</v>
      </c>
      <c r="F20" s="11"/>
      <c r="G20" s="11"/>
      <c r="H20" s="9">
        <f t="shared" si="16"/>
        <v>13.5</v>
      </c>
      <c r="I20" s="237"/>
      <c r="J20" s="289"/>
      <c r="K20" s="228">
        <v>1300</v>
      </c>
      <c r="L20" s="222">
        <f t="shared" si="15"/>
        <v>-4078.6201600000018</v>
      </c>
      <c r="M20" s="222">
        <f t="shared" si="8"/>
        <v>-3298.6201600000013</v>
      </c>
      <c r="N20" s="222">
        <f t="shared" si="9"/>
        <v>-2518.6201600000013</v>
      </c>
      <c r="O20" s="222">
        <f t="shared" si="10"/>
        <v>-1738.6201600000022</v>
      </c>
      <c r="P20" s="222">
        <f t="shared" si="11"/>
        <v>-958.62016000000131</v>
      </c>
      <c r="Q20" s="222">
        <f t="shared" si="12"/>
        <v>-178.62016000000125</v>
      </c>
      <c r="R20" s="222">
        <f t="shared" si="13"/>
        <v>601.3798399999996</v>
      </c>
      <c r="S20" s="222">
        <f t="shared" si="14"/>
        <v>1381.3798399999987</v>
      </c>
    </row>
    <row r="21" spans="1:19" x14ac:dyDescent="0.25">
      <c r="A21" s="1"/>
      <c r="B21" s="1" t="s">
        <v>33</v>
      </c>
      <c r="C21" s="171">
        <v>0.3</v>
      </c>
      <c r="D21" s="7" t="s">
        <v>34</v>
      </c>
      <c r="E21" s="11">
        <v>20</v>
      </c>
      <c r="F21" s="11"/>
      <c r="G21" s="11"/>
      <c r="H21" s="9">
        <f t="shared" si="16"/>
        <v>6</v>
      </c>
      <c r="I21" s="237"/>
      <c r="J21" s="289"/>
      <c r="K21" s="228">
        <v>1400</v>
      </c>
      <c r="L21" s="222">
        <f t="shared" si="15"/>
        <v>-3898.6201600000018</v>
      </c>
      <c r="M21" s="222">
        <f t="shared" si="8"/>
        <v>-3058.6201600000013</v>
      </c>
      <c r="N21" s="222">
        <f t="shared" si="9"/>
        <v>-2218.6201600000013</v>
      </c>
      <c r="O21" s="222">
        <f t="shared" si="10"/>
        <v>-1378.6201600000022</v>
      </c>
      <c r="P21" s="222">
        <f t="shared" si="11"/>
        <v>-538.62016000000131</v>
      </c>
      <c r="Q21" s="222">
        <f t="shared" si="12"/>
        <v>301.37983999999875</v>
      </c>
      <c r="R21" s="222">
        <f t="shared" si="13"/>
        <v>1141.3798399999996</v>
      </c>
      <c r="S21" s="222">
        <f t="shared" si="14"/>
        <v>1981.3798399999987</v>
      </c>
    </row>
    <row r="22" spans="1:19" x14ac:dyDescent="0.25">
      <c r="A22" s="1"/>
      <c r="B22" s="1" t="s">
        <v>35</v>
      </c>
      <c r="C22" s="168">
        <v>1</v>
      </c>
      <c r="D22" s="7" t="s">
        <v>25</v>
      </c>
      <c r="E22" s="16">
        <v>0</v>
      </c>
      <c r="F22" s="16"/>
      <c r="G22" s="16"/>
      <c r="H22" s="9">
        <f t="shared" si="16"/>
        <v>0</v>
      </c>
      <c r="I22" s="237"/>
      <c r="J22" s="289"/>
      <c r="K22" s="228">
        <v>1500</v>
      </c>
      <c r="L22" s="222">
        <f t="shared" si="15"/>
        <v>-3718.6201600000018</v>
      </c>
      <c r="M22" s="222">
        <f t="shared" si="8"/>
        <v>-2818.6201600000013</v>
      </c>
      <c r="N22" s="222">
        <f t="shared" si="9"/>
        <v>-1918.6201600000013</v>
      </c>
      <c r="O22" s="222">
        <f t="shared" si="10"/>
        <v>-1018.6201600000022</v>
      </c>
      <c r="P22" s="222">
        <f t="shared" si="11"/>
        <v>-118.62016000000126</v>
      </c>
      <c r="Q22" s="222">
        <f t="shared" si="12"/>
        <v>781.37983999999869</v>
      </c>
      <c r="R22" s="222">
        <f t="shared" si="13"/>
        <v>1681.3798399999996</v>
      </c>
      <c r="S22" s="222">
        <f t="shared" si="14"/>
        <v>2581.3798399999987</v>
      </c>
    </row>
    <row r="23" spans="1:19" x14ac:dyDescent="0.25">
      <c r="A23" s="1"/>
      <c r="B23" s="1" t="s">
        <v>36</v>
      </c>
      <c r="C23" s="168">
        <v>1</v>
      </c>
      <c r="D23" s="7" t="s">
        <v>37</v>
      </c>
      <c r="E23" s="16">
        <v>7</v>
      </c>
      <c r="F23" s="16"/>
      <c r="G23" s="16"/>
      <c r="H23" s="9">
        <f t="shared" si="16"/>
        <v>7</v>
      </c>
      <c r="I23" s="237"/>
      <c r="J23" s="289"/>
      <c r="K23" s="228">
        <v>1600</v>
      </c>
      <c r="L23" s="222">
        <f t="shared" si="15"/>
        <v>-3538.6201600000018</v>
      </c>
      <c r="M23" s="222">
        <f t="shared" si="8"/>
        <v>-2578.6201600000013</v>
      </c>
      <c r="N23" s="222">
        <f t="shared" si="9"/>
        <v>-1618.6201600000013</v>
      </c>
      <c r="O23" s="222">
        <f t="shared" si="10"/>
        <v>-658.62016000000222</v>
      </c>
      <c r="P23" s="222">
        <f t="shared" si="11"/>
        <v>301.37983999999875</v>
      </c>
      <c r="Q23" s="222">
        <f t="shared" si="12"/>
        <v>1261.3798399999987</v>
      </c>
      <c r="R23" s="222">
        <f t="shared" si="13"/>
        <v>2221.3798399999987</v>
      </c>
      <c r="S23" s="222">
        <f t="shared" si="14"/>
        <v>3181.3798399999987</v>
      </c>
    </row>
    <row r="24" spans="1:19" x14ac:dyDescent="0.25">
      <c r="A24" s="1"/>
      <c r="B24" s="56" t="s">
        <v>144</v>
      </c>
      <c r="C24" s="172">
        <v>1</v>
      </c>
      <c r="D24" s="7" t="s">
        <v>25</v>
      </c>
      <c r="E24" s="16">
        <v>79.3</v>
      </c>
      <c r="F24" s="16"/>
      <c r="G24" s="16"/>
      <c r="H24" s="9">
        <f t="shared" si="16"/>
        <v>79.3</v>
      </c>
      <c r="I24" s="237"/>
      <c r="J24" s="289"/>
      <c r="K24" s="228">
        <v>1900</v>
      </c>
      <c r="L24" s="222">
        <f t="shared" si="15"/>
        <v>-2998.6201600000018</v>
      </c>
      <c r="M24" s="222">
        <f t="shared" si="8"/>
        <v>-1858.6201600000013</v>
      </c>
      <c r="N24" s="222">
        <f t="shared" si="9"/>
        <v>-718.62016000000131</v>
      </c>
      <c r="O24" s="222">
        <f t="shared" si="10"/>
        <v>421.37983999999784</v>
      </c>
      <c r="P24" s="222">
        <f t="shared" si="11"/>
        <v>1561.3798399999987</v>
      </c>
      <c r="Q24" s="222">
        <f t="shared" si="12"/>
        <v>2701.3798399999987</v>
      </c>
      <c r="R24" s="222">
        <f t="shared" si="13"/>
        <v>3841.3798399999987</v>
      </c>
      <c r="S24" s="222">
        <f t="shared" si="14"/>
        <v>4981.3798399999987</v>
      </c>
    </row>
    <row r="25" spans="1:19" ht="14.45" customHeight="1" x14ac:dyDescent="0.25">
      <c r="A25" s="1"/>
      <c r="B25" s="56" t="s">
        <v>145</v>
      </c>
      <c r="C25" s="172">
        <v>1</v>
      </c>
      <c r="D25" s="7" t="s">
        <v>25</v>
      </c>
      <c r="E25" s="16">
        <f>513+208.44+2.75</f>
        <v>724.19</v>
      </c>
      <c r="F25" s="16"/>
      <c r="G25" s="16"/>
      <c r="H25" s="9">
        <f t="shared" si="16"/>
        <v>724.19</v>
      </c>
      <c r="I25" s="237"/>
      <c r="J25" s="289"/>
      <c r="K25" s="228">
        <v>2000</v>
      </c>
      <c r="L25" s="222">
        <f t="shared" si="15"/>
        <v>-2818.6201600000018</v>
      </c>
      <c r="M25" s="222">
        <f t="shared" si="8"/>
        <v>-1618.6201600000013</v>
      </c>
      <c r="N25" s="222">
        <f t="shared" si="9"/>
        <v>-418.62016000000125</v>
      </c>
      <c r="O25" s="222">
        <f t="shared" si="10"/>
        <v>781.37983999999778</v>
      </c>
      <c r="P25" s="222">
        <f t="shared" si="11"/>
        <v>1981.3798399999987</v>
      </c>
      <c r="Q25" s="222">
        <f t="shared" si="12"/>
        <v>3181.3798399999987</v>
      </c>
      <c r="R25" s="222">
        <f t="shared" si="13"/>
        <v>4381.3798399999987</v>
      </c>
      <c r="S25" s="222">
        <f t="shared" si="14"/>
        <v>5581.3798399999987</v>
      </c>
    </row>
    <row r="26" spans="1:19" ht="15" customHeight="1" x14ac:dyDescent="0.25">
      <c r="A26" s="1"/>
      <c r="B26" s="56" t="s">
        <v>146</v>
      </c>
      <c r="C26" s="172">
        <v>12</v>
      </c>
      <c r="D26" s="7" t="s">
        <v>68</v>
      </c>
      <c r="E26" s="16">
        <v>12.96</v>
      </c>
      <c r="F26" s="16"/>
      <c r="G26" s="16"/>
      <c r="H26" s="9">
        <f t="shared" si="16"/>
        <v>155.52000000000001</v>
      </c>
      <c r="I26" s="237"/>
      <c r="J26" s="289"/>
      <c r="K26" s="228">
        <v>2100</v>
      </c>
      <c r="L26" s="222">
        <f t="shared" ref="L26:L32" si="17">((($L$15*$C$6)*100)*K26)-$H$47-$H$63</f>
        <v>-2638.6201600000018</v>
      </c>
      <c r="M26" s="222">
        <f t="shared" ref="M26:M32" si="18">((($M$15*$C$6)*100)*K26)-$H$47-$H$63</f>
        <v>-1378.6201600000013</v>
      </c>
      <c r="N26" s="222">
        <f t="shared" ref="N26:N32" si="19">((($N$15*$C$6)*100)*K26)-$H$47-$H$63</f>
        <v>-118.62016000000126</v>
      </c>
      <c r="O26" s="222">
        <f t="shared" ref="O26:O32" si="20">((($O$15*$C$6)*100)*K26)-$H$47-$H$63</f>
        <v>1141.3798399999978</v>
      </c>
      <c r="P26" s="222">
        <f t="shared" ref="P26:P32" si="21">((($P$15*$C$6)*100)*K26)-$H$47-$H$63</f>
        <v>2401.3798399999987</v>
      </c>
      <c r="Q26" s="222">
        <f t="shared" ref="Q26:Q32" si="22">((($Q$15*$C$6)*100)*K26)-$H$47-$H$63</f>
        <v>3661.3798399999987</v>
      </c>
      <c r="R26" s="222">
        <f t="shared" ref="R26:R32" si="23">((($R$15*$C$6)*100)*K26)-$H$47-$H$63</f>
        <v>4921.3798399999987</v>
      </c>
      <c r="S26" s="222">
        <f t="shared" ref="S26:S32" si="24">((($S$15*$C$6)*100)*K26)-$H$47-$H$63</f>
        <v>6181.3798399999987</v>
      </c>
    </row>
    <row r="27" spans="1:19" x14ac:dyDescent="0.25">
      <c r="A27" s="1"/>
      <c r="B27" s="56" t="s">
        <v>147</v>
      </c>
      <c r="C27" s="172">
        <v>1</v>
      </c>
      <c r="D27" s="7" t="s">
        <v>25</v>
      </c>
      <c r="E27" s="16">
        <v>0</v>
      </c>
      <c r="F27" s="16"/>
      <c r="G27" s="16"/>
      <c r="H27" s="9">
        <f t="shared" si="16"/>
        <v>0</v>
      </c>
      <c r="I27" s="237"/>
      <c r="J27" s="289"/>
      <c r="K27" s="228">
        <v>2200</v>
      </c>
      <c r="L27" s="222">
        <f t="shared" si="17"/>
        <v>-2458.6201600000018</v>
      </c>
      <c r="M27" s="222">
        <f t="shared" si="18"/>
        <v>-1138.6201600000013</v>
      </c>
      <c r="N27" s="222">
        <f t="shared" si="19"/>
        <v>181.37983999999875</v>
      </c>
      <c r="O27" s="222">
        <f t="shared" si="20"/>
        <v>1501.3798399999978</v>
      </c>
      <c r="P27" s="222">
        <f t="shared" si="21"/>
        <v>2821.3798399999987</v>
      </c>
      <c r="Q27" s="222">
        <f t="shared" si="22"/>
        <v>4141.3798399999987</v>
      </c>
      <c r="R27" s="222">
        <f t="shared" si="23"/>
        <v>5461.3798399999987</v>
      </c>
      <c r="S27" s="222">
        <f t="shared" si="24"/>
        <v>6781.3798399999987</v>
      </c>
    </row>
    <row r="28" spans="1:19" x14ac:dyDescent="0.25">
      <c r="A28" s="1"/>
      <c r="B28" s="56" t="s">
        <v>148</v>
      </c>
      <c r="C28" s="172">
        <v>1</v>
      </c>
      <c r="D28" s="7" t="s">
        <v>25</v>
      </c>
      <c r="E28" s="16">
        <v>0</v>
      </c>
      <c r="F28" s="16"/>
      <c r="G28" s="16"/>
      <c r="H28" s="9">
        <f t="shared" si="16"/>
        <v>0</v>
      </c>
      <c r="I28" s="237"/>
      <c r="J28" s="289"/>
      <c r="K28" s="228">
        <v>2300</v>
      </c>
      <c r="L28" s="222">
        <f t="shared" si="17"/>
        <v>-2278.6201600000013</v>
      </c>
      <c r="M28" s="222">
        <f t="shared" si="18"/>
        <v>-898.62016000000131</v>
      </c>
      <c r="N28" s="222">
        <f t="shared" si="19"/>
        <v>481.37983999999875</v>
      </c>
      <c r="O28" s="222">
        <f t="shared" si="20"/>
        <v>1861.3798399999987</v>
      </c>
      <c r="P28" s="222">
        <f t="shared" si="21"/>
        <v>3241.3798399999987</v>
      </c>
      <c r="Q28" s="222">
        <f t="shared" si="22"/>
        <v>4621.3798399999987</v>
      </c>
      <c r="R28" s="222">
        <f t="shared" si="23"/>
        <v>6001.3798399999987</v>
      </c>
      <c r="S28" s="222">
        <f t="shared" si="24"/>
        <v>7381.3798399999987</v>
      </c>
    </row>
    <row r="29" spans="1:19" x14ac:dyDescent="0.25">
      <c r="A29" s="1"/>
      <c r="B29" s="56" t="s">
        <v>149</v>
      </c>
      <c r="C29" s="172">
        <v>0</v>
      </c>
      <c r="D29" s="7" t="s">
        <v>68</v>
      </c>
      <c r="E29" s="16">
        <v>0</v>
      </c>
      <c r="F29" s="16"/>
      <c r="G29" s="16"/>
      <c r="H29" s="9">
        <f t="shared" si="16"/>
        <v>0</v>
      </c>
      <c r="I29" s="237"/>
      <c r="J29" s="289"/>
      <c r="K29" s="228">
        <v>2400</v>
      </c>
      <c r="L29" s="222">
        <f t="shared" si="17"/>
        <v>-2098.6201600000013</v>
      </c>
      <c r="M29" s="222">
        <f t="shared" si="18"/>
        <v>-658.62016000000131</v>
      </c>
      <c r="N29" s="222">
        <f t="shared" si="19"/>
        <v>781.37983999999869</v>
      </c>
      <c r="O29" s="222">
        <f t="shared" si="20"/>
        <v>2221.3798399999987</v>
      </c>
      <c r="P29" s="222">
        <f t="shared" si="21"/>
        <v>3661.3798399999987</v>
      </c>
      <c r="Q29" s="222">
        <f t="shared" si="22"/>
        <v>5101.3798399999987</v>
      </c>
      <c r="R29" s="222">
        <f t="shared" si="23"/>
        <v>6541.3798399999987</v>
      </c>
      <c r="S29" s="222">
        <f t="shared" si="24"/>
        <v>7981.3798399999987</v>
      </c>
    </row>
    <row r="30" spans="1:19" x14ac:dyDescent="0.25">
      <c r="A30" s="1"/>
      <c r="B30" s="56" t="s">
        <v>128</v>
      </c>
      <c r="C30" s="172">
        <v>32.4</v>
      </c>
      <c r="D30" s="7" t="s">
        <v>68</v>
      </c>
      <c r="E30" s="16">
        <v>12.96</v>
      </c>
      <c r="F30" s="16"/>
      <c r="G30" s="16"/>
      <c r="H30" s="9">
        <f t="shared" si="16"/>
        <v>419.904</v>
      </c>
      <c r="I30" s="237"/>
      <c r="J30" s="289"/>
      <c r="K30" s="228">
        <v>2500</v>
      </c>
      <c r="L30" s="222">
        <f t="shared" si="17"/>
        <v>-1918.6201600000013</v>
      </c>
      <c r="M30" s="222">
        <f t="shared" si="18"/>
        <v>-418.62016000000125</v>
      </c>
      <c r="N30" s="222">
        <f t="shared" si="19"/>
        <v>1081.3798399999987</v>
      </c>
      <c r="O30" s="222">
        <f t="shared" si="20"/>
        <v>2581.3798399999987</v>
      </c>
      <c r="P30" s="222">
        <f t="shared" si="21"/>
        <v>4081.3798399999987</v>
      </c>
      <c r="Q30" s="222">
        <f t="shared" si="22"/>
        <v>5581.3798399999987</v>
      </c>
      <c r="R30" s="222">
        <f t="shared" si="23"/>
        <v>7081.3798399999987</v>
      </c>
      <c r="S30" s="222">
        <f t="shared" si="24"/>
        <v>8581.3798399999996</v>
      </c>
    </row>
    <row r="31" spans="1:19" x14ac:dyDescent="0.25">
      <c r="A31" s="1"/>
      <c r="B31" s="164" t="s">
        <v>129</v>
      </c>
      <c r="C31" s="173">
        <v>0</v>
      </c>
      <c r="D31" s="161" t="s">
        <v>68</v>
      </c>
      <c r="E31" s="165">
        <v>0</v>
      </c>
      <c r="F31" s="165"/>
      <c r="G31" s="165"/>
      <c r="H31" s="163">
        <f t="shared" si="16"/>
        <v>0</v>
      </c>
      <c r="I31" s="237"/>
      <c r="J31" s="289"/>
      <c r="K31" s="228">
        <v>2600</v>
      </c>
      <c r="L31" s="222">
        <f t="shared" si="17"/>
        <v>-1738.6201600000022</v>
      </c>
      <c r="M31" s="222">
        <f t="shared" si="18"/>
        <v>-178.62016000000125</v>
      </c>
      <c r="N31" s="222">
        <f t="shared" si="19"/>
        <v>1381.3798399999987</v>
      </c>
      <c r="O31" s="222">
        <f t="shared" si="20"/>
        <v>2941.3798399999969</v>
      </c>
      <c r="P31" s="222">
        <f t="shared" si="21"/>
        <v>4501.3798399999987</v>
      </c>
      <c r="Q31" s="222">
        <f t="shared" si="22"/>
        <v>6061.3798399999987</v>
      </c>
      <c r="R31" s="222">
        <f t="shared" si="23"/>
        <v>7621.3798400000005</v>
      </c>
      <c r="S31" s="222">
        <f t="shared" si="24"/>
        <v>9181.3798399999996</v>
      </c>
    </row>
    <row r="32" spans="1:19" x14ac:dyDescent="0.25">
      <c r="A32" s="1"/>
      <c r="B32" s="56" t="s">
        <v>130</v>
      </c>
      <c r="C32" s="172">
        <v>0</v>
      </c>
      <c r="D32" s="7" t="s">
        <v>150</v>
      </c>
      <c r="E32" s="16">
        <v>1.5</v>
      </c>
      <c r="F32" s="16"/>
      <c r="G32" s="16"/>
      <c r="H32" s="9">
        <f t="shared" si="16"/>
        <v>0</v>
      </c>
      <c r="I32" s="237"/>
      <c r="J32" s="289"/>
      <c r="K32" s="228">
        <v>2700</v>
      </c>
      <c r="L32" s="222">
        <f t="shared" si="17"/>
        <v>-1558.6201600000022</v>
      </c>
      <c r="M32" s="222">
        <f t="shared" si="18"/>
        <v>61.379839999998737</v>
      </c>
      <c r="N32" s="222">
        <f t="shared" si="19"/>
        <v>1681.3798399999987</v>
      </c>
      <c r="O32" s="222">
        <f t="shared" si="20"/>
        <v>3301.3798399999969</v>
      </c>
      <c r="P32" s="222">
        <f t="shared" si="21"/>
        <v>4921.3798399999987</v>
      </c>
      <c r="Q32" s="222">
        <f t="shared" si="22"/>
        <v>6541.3798399999987</v>
      </c>
      <c r="R32" s="222">
        <f t="shared" si="23"/>
        <v>8161.3798400000005</v>
      </c>
      <c r="S32" s="222">
        <f t="shared" si="24"/>
        <v>9781.3798399999996</v>
      </c>
    </row>
    <row r="33" spans="1:19" x14ac:dyDescent="0.25">
      <c r="A33" s="1"/>
      <c r="B33" s="56" t="s">
        <v>86</v>
      </c>
      <c r="C33" s="172">
        <v>1</v>
      </c>
      <c r="D33" s="7" t="s">
        <v>25</v>
      </c>
      <c r="E33" s="16">
        <v>0</v>
      </c>
      <c r="F33" s="16"/>
      <c r="G33" s="16"/>
      <c r="H33" s="9">
        <f t="shared" si="16"/>
        <v>0</v>
      </c>
      <c r="I33" s="237"/>
      <c r="J33" s="289"/>
      <c r="K33" s="228">
        <v>2800</v>
      </c>
      <c r="L33" s="222">
        <f>((($L$15*$C$6)*100)*K33)-$H$47-$H$63</f>
        <v>-1378.6201600000022</v>
      </c>
      <c r="M33" s="222">
        <f>((($M$15*$C$6)*100)*K33)-$H$47-$H$63</f>
        <v>301.37983999999875</v>
      </c>
      <c r="N33" s="222">
        <f>((($N$15*$C$6)*100)*K33)-$H$47-$H$63</f>
        <v>1981.3798399999987</v>
      </c>
      <c r="O33" s="222">
        <f>((($O$15*$C$6)*100)*K33)-$H$47-$H$63</f>
        <v>3661.3798399999969</v>
      </c>
      <c r="P33" s="222">
        <f>((($P$15*$C$6)*100)*K33)-$H$47-$H$63</f>
        <v>5341.3798399999987</v>
      </c>
      <c r="Q33" s="222">
        <f>((($Q$15*$C$6)*100)*K33)-$H$47-$H$63</f>
        <v>7021.3798399999987</v>
      </c>
      <c r="R33" s="222">
        <f>((($R$15*$C$6)*100)*K33)-$H$47-$H$63</f>
        <v>8701.3798400000014</v>
      </c>
      <c r="S33" s="222">
        <f>((($S$15*$C$6)*100)*K33)-$H$47-$H$63</f>
        <v>10381.37984</v>
      </c>
    </row>
    <row r="34" spans="1:19" x14ac:dyDescent="0.25">
      <c r="A34" s="1"/>
      <c r="B34" s="56" t="s">
        <v>151</v>
      </c>
      <c r="C34" s="172">
        <v>5</v>
      </c>
      <c r="D34" s="7" t="s">
        <v>25</v>
      </c>
      <c r="E34" s="16">
        <v>35</v>
      </c>
      <c r="F34" s="16"/>
      <c r="G34" s="16"/>
      <c r="H34" s="9">
        <f t="shared" si="16"/>
        <v>175</v>
      </c>
      <c r="I34" s="237"/>
      <c r="J34" s="289"/>
      <c r="K34" s="228">
        <v>2900</v>
      </c>
      <c r="L34" s="222">
        <f>((($L$15*$C$6)*100)*K34)-$H$47-$H$63</f>
        <v>-1198.6201600000022</v>
      </c>
      <c r="M34" s="222">
        <f>((($M$15*$C$6)*100)*K34)-$H$47-$H$63</f>
        <v>541.37983999999869</v>
      </c>
      <c r="N34" s="222">
        <f>((($N$15*$C$6)*100)*K34)-$H$47-$H$63</f>
        <v>2281.3798399999987</v>
      </c>
      <c r="O34" s="222">
        <f>((($O$15*$C$6)*100)*K34)-$H$47-$H$63</f>
        <v>4021.3798399999969</v>
      </c>
      <c r="P34" s="222">
        <f>((($P$15*$C$6)*100)*K34)-$H$47-$H$63</f>
        <v>5761.3798399999987</v>
      </c>
      <c r="Q34" s="222">
        <f>((($Q$15*$C$6)*100)*K34)-$H$47-$H$63</f>
        <v>7501.3798399999987</v>
      </c>
      <c r="R34" s="222">
        <f>((($R$15*$C$6)*100)*K34)-$H$47-$H$63</f>
        <v>9241.3798400000014</v>
      </c>
      <c r="S34" s="222">
        <f>((($S$15*$C$6)*100)*K34)-$H$47-$H$63</f>
        <v>10981.37984</v>
      </c>
    </row>
    <row r="35" spans="1:19" x14ac:dyDescent="0.25">
      <c r="A35" s="1"/>
      <c r="B35" s="56" t="s">
        <v>38</v>
      </c>
      <c r="C35" s="174">
        <v>30</v>
      </c>
      <c r="D35" s="7" t="s">
        <v>76</v>
      </c>
      <c r="E35" s="47">
        <v>1.5</v>
      </c>
      <c r="F35" s="47"/>
      <c r="G35" s="118"/>
      <c r="H35" s="9">
        <f>E35*C35</f>
        <v>45</v>
      </c>
      <c r="I35" s="237"/>
      <c r="J35" s="289"/>
      <c r="K35" s="228">
        <v>3000</v>
      </c>
      <c r="L35" s="222">
        <f>((($L$15*$C$6)*100)*K35)-$H$47-$H$63</f>
        <v>-1018.6201600000022</v>
      </c>
      <c r="M35" s="222">
        <f>((($M$15*$C$6)*100)*K35)-$H$47-$H$63</f>
        <v>781.37983999999869</v>
      </c>
      <c r="N35" s="222">
        <f>((($N$15*$C$6)*100)*K35)-$H$47-$H$63</f>
        <v>2581.3798399999987</v>
      </c>
      <c r="O35" s="222">
        <f>((($O$15*$C$6)*100)*K35)-$H$47-$H$63</f>
        <v>4381.3798399999969</v>
      </c>
      <c r="P35" s="222">
        <f>((($P$15*$C$6)*100)*K35)-$H$47-$H$63</f>
        <v>6181.3798399999987</v>
      </c>
      <c r="Q35" s="222">
        <f>((($Q$15*$C$6)*100)*K35)-$H$47-$H$63</f>
        <v>7981.3798399999987</v>
      </c>
      <c r="R35" s="222">
        <f>((($R$15*$C$6)*100)*K35)-$H$47-$H$63</f>
        <v>9781.3798400000014</v>
      </c>
      <c r="S35" s="222">
        <f>((($S$15*$C$6)*100)*K35)-$H$47-$H$63</f>
        <v>11581.37984</v>
      </c>
    </row>
    <row r="36" spans="1:19" x14ac:dyDescent="0.25">
      <c r="A36" s="1"/>
      <c r="B36" s="1" t="s">
        <v>40</v>
      </c>
      <c r="C36" s="172">
        <v>1</v>
      </c>
      <c r="D36" s="7" t="s">
        <v>25</v>
      </c>
      <c r="E36" s="11">
        <v>0</v>
      </c>
      <c r="F36" s="11"/>
      <c r="G36" s="11"/>
      <c r="H36" s="9">
        <f t="shared" si="16"/>
        <v>0</v>
      </c>
      <c r="I36" s="237"/>
      <c r="J36" s="289"/>
      <c r="K36" s="228">
        <v>3100</v>
      </c>
      <c r="L36" s="222">
        <f>((($L$15*$C$6)*100)*K36)-$H$47-$H$63</f>
        <v>-838.62016000000222</v>
      </c>
      <c r="M36" s="222">
        <f>((($M$15*$C$6)*100)*K36)-$H$47-$H$63</f>
        <v>1021.3798399999987</v>
      </c>
      <c r="N36" s="222">
        <f>((($N$15*$C$6)*100)*K36)-$H$47-$H$63</f>
        <v>2881.3798399999987</v>
      </c>
      <c r="O36" s="222">
        <f>((($O$15*$C$6)*100)*K36)-$H$47-$H$63</f>
        <v>4741.3798399999969</v>
      </c>
      <c r="P36" s="222">
        <f>((($P$15*$C$6)*100)*K36)-$H$47-$H$63</f>
        <v>6601.3798399999987</v>
      </c>
      <c r="Q36" s="222">
        <f>((($Q$15*$C$6)*100)*K36)-$H$47-$H$63</f>
        <v>8461.3798399999996</v>
      </c>
      <c r="R36" s="222">
        <f>((($R$15*$C$6)*100)*K36)-$H$47-$H$63</f>
        <v>10321.37984</v>
      </c>
      <c r="S36" s="222">
        <f>((($S$15*$C$6)*100)*K36)-$H$47-$H$63</f>
        <v>12181.37984</v>
      </c>
    </row>
    <row r="37" spans="1:19" x14ac:dyDescent="0.25">
      <c r="A37" s="1"/>
      <c r="B37" s="1" t="s">
        <v>24</v>
      </c>
      <c r="C37" s="172">
        <v>1</v>
      </c>
      <c r="D37" s="7" t="s">
        <v>25</v>
      </c>
      <c r="E37" s="11">
        <v>0</v>
      </c>
      <c r="F37" s="11"/>
      <c r="G37" s="11"/>
      <c r="H37" s="9">
        <f>E37*C37</f>
        <v>0</v>
      </c>
      <c r="I37" s="237"/>
      <c r="J37" s="237"/>
      <c r="K37" s="237"/>
      <c r="L37" s="237"/>
      <c r="M37" s="237"/>
      <c r="N37" s="237"/>
      <c r="O37" s="237"/>
      <c r="P37" s="237"/>
      <c r="Q37" s="237"/>
      <c r="R37" s="237"/>
      <c r="S37" s="237"/>
    </row>
    <row r="38" spans="1:19" x14ac:dyDescent="0.25">
      <c r="A38" s="1"/>
      <c r="B38" s="1" t="s">
        <v>44</v>
      </c>
      <c r="C38" s="176">
        <v>1</v>
      </c>
      <c r="D38" s="7" t="s">
        <v>45</v>
      </c>
      <c r="E38" s="11">
        <v>400</v>
      </c>
      <c r="F38" s="11" t="s">
        <v>46</v>
      </c>
      <c r="G38" s="48">
        <v>5</v>
      </c>
      <c r="H38" s="55">
        <f>E38/G38</f>
        <v>80</v>
      </c>
      <c r="I38" s="237"/>
      <c r="J38" s="237"/>
      <c r="K38" s="237"/>
      <c r="L38" s="237"/>
      <c r="M38" s="237"/>
      <c r="N38" s="237"/>
      <c r="O38" s="237"/>
      <c r="P38" s="237"/>
      <c r="Q38" s="237"/>
      <c r="R38" s="237"/>
      <c r="S38" s="237"/>
    </row>
    <row r="39" spans="1:19" x14ac:dyDescent="0.25">
      <c r="A39" s="1"/>
      <c r="B39" s="1" t="s">
        <v>94</v>
      </c>
      <c r="C39" s="176">
        <v>3</v>
      </c>
      <c r="D39" s="7" t="s">
        <v>101</v>
      </c>
      <c r="E39" s="11">
        <v>60</v>
      </c>
      <c r="F39" s="11" t="s">
        <v>192</v>
      </c>
      <c r="G39" s="48">
        <v>1</v>
      </c>
      <c r="H39" s="9">
        <f>(C39*E39)/G39</f>
        <v>180</v>
      </c>
      <c r="I39" s="237"/>
      <c r="J39" s="237"/>
      <c r="K39" s="237"/>
      <c r="L39" s="237"/>
      <c r="M39" s="237"/>
      <c r="N39" s="237"/>
      <c r="O39" s="237"/>
      <c r="P39" s="237"/>
      <c r="Q39" s="237"/>
      <c r="R39" s="237"/>
      <c r="S39" s="237"/>
    </row>
    <row r="40" spans="1:19" s="237" customFormat="1" x14ac:dyDescent="0.25">
      <c r="A40" s="1"/>
      <c r="B40" s="1" t="s">
        <v>41</v>
      </c>
      <c r="C40" s="176">
        <v>1</v>
      </c>
      <c r="D40" s="7" t="s">
        <v>25</v>
      </c>
      <c r="E40" s="11">
        <v>300</v>
      </c>
      <c r="F40" s="11"/>
      <c r="G40" s="48"/>
      <c r="H40" s="9">
        <f>E40*C40</f>
        <v>300</v>
      </c>
    </row>
    <row r="41" spans="1:19" x14ac:dyDescent="0.25">
      <c r="A41" s="1"/>
      <c r="B41" s="1" t="s">
        <v>49</v>
      </c>
      <c r="C41" s="175">
        <f>SUM(H16:H39)+SUM(H42:H46)</f>
        <v>5871.2720000000008</v>
      </c>
      <c r="D41" s="7" t="s">
        <v>50</v>
      </c>
      <c r="E41" s="19">
        <v>0.06</v>
      </c>
      <c r="F41" s="19" t="s">
        <v>51</v>
      </c>
      <c r="G41" s="14">
        <v>6</v>
      </c>
      <c r="H41" s="9">
        <f>C41*E41*(G41/12)</f>
        <v>176.13816000000003</v>
      </c>
      <c r="I41" s="237"/>
      <c r="J41" s="237"/>
      <c r="K41" s="237"/>
      <c r="L41" s="237"/>
      <c r="M41" s="237"/>
      <c r="N41" s="237"/>
      <c r="O41" s="237"/>
      <c r="P41" s="237"/>
      <c r="Q41" s="237"/>
      <c r="R41" s="237"/>
      <c r="S41" s="237"/>
    </row>
    <row r="42" spans="1:19" x14ac:dyDescent="0.25">
      <c r="A42" s="1"/>
      <c r="B42" s="1" t="s">
        <v>52</v>
      </c>
      <c r="C42" s="172">
        <v>1</v>
      </c>
      <c r="D42" s="7" t="s">
        <v>25</v>
      </c>
      <c r="E42" s="11">
        <v>0</v>
      </c>
      <c r="F42" s="11"/>
      <c r="G42" s="11"/>
      <c r="H42" s="9">
        <f>E42*C42</f>
        <v>0</v>
      </c>
      <c r="I42" s="237"/>
      <c r="J42" s="237"/>
      <c r="K42" s="237"/>
      <c r="L42" s="237"/>
      <c r="M42" s="237"/>
      <c r="N42" s="237"/>
      <c r="O42" s="237"/>
      <c r="P42" s="237"/>
      <c r="Q42" s="237"/>
      <c r="R42" s="237"/>
      <c r="S42" s="237"/>
    </row>
    <row r="43" spans="1:19" s="234" customFormat="1" x14ac:dyDescent="0.25">
      <c r="A43" s="1"/>
      <c r="B43" s="1" t="s">
        <v>47</v>
      </c>
      <c r="C43" s="172">
        <v>1</v>
      </c>
      <c r="D43" s="7" t="s">
        <v>25</v>
      </c>
      <c r="E43" s="11">
        <v>0</v>
      </c>
      <c r="F43" s="11"/>
      <c r="G43" s="11"/>
      <c r="H43" s="9">
        <f>E43*C43</f>
        <v>0</v>
      </c>
      <c r="I43" s="237"/>
      <c r="J43" s="237"/>
      <c r="K43" s="237"/>
      <c r="L43" s="237"/>
      <c r="M43" s="237"/>
      <c r="N43" s="237"/>
      <c r="O43" s="237"/>
      <c r="P43" s="237"/>
      <c r="Q43" s="237"/>
      <c r="R43" s="237"/>
      <c r="S43" s="237"/>
    </row>
    <row r="44" spans="1:19" s="234" customFormat="1" x14ac:dyDescent="0.25">
      <c r="A44" s="1"/>
      <c r="B44" s="1" t="s">
        <v>48</v>
      </c>
      <c r="C44" s="172">
        <v>1</v>
      </c>
      <c r="D44" s="7" t="s">
        <v>25</v>
      </c>
      <c r="E44" s="11">
        <v>0</v>
      </c>
      <c r="F44" s="11"/>
      <c r="G44" s="11"/>
      <c r="H44" s="9">
        <f>E44*C44</f>
        <v>0</v>
      </c>
      <c r="I44" s="237"/>
      <c r="J44" s="237"/>
      <c r="K44" s="237"/>
      <c r="L44" s="237"/>
      <c r="M44" s="237"/>
      <c r="N44" s="237"/>
      <c r="O44" s="237"/>
      <c r="P44" s="237"/>
      <c r="Q44" s="237"/>
      <c r="R44" s="237"/>
      <c r="S44" s="237"/>
    </row>
    <row r="45" spans="1:19" x14ac:dyDescent="0.25">
      <c r="A45" s="1"/>
      <c r="B45" s="1" t="s">
        <v>152</v>
      </c>
      <c r="C45" s="172">
        <v>1</v>
      </c>
      <c r="D45" s="7" t="s">
        <v>25</v>
      </c>
      <c r="E45" s="11">
        <f>155.7+0.15</f>
        <v>155.85</v>
      </c>
      <c r="F45" s="11"/>
      <c r="G45" s="11"/>
      <c r="H45" s="9">
        <f>+E45*C45</f>
        <v>155.85</v>
      </c>
      <c r="I45" s="237"/>
      <c r="J45" s="237"/>
      <c r="K45" s="237"/>
      <c r="L45" s="237"/>
      <c r="M45" s="237"/>
      <c r="N45" s="237"/>
      <c r="O45" s="237"/>
      <c r="P45" s="237"/>
      <c r="Q45" s="237"/>
      <c r="R45" s="237"/>
      <c r="S45" s="237"/>
    </row>
    <row r="46" spans="1:19" x14ac:dyDescent="0.25">
      <c r="A46" s="1"/>
      <c r="B46" s="160" t="s">
        <v>134</v>
      </c>
      <c r="C46" s="172">
        <v>1</v>
      </c>
      <c r="D46" s="7" t="s">
        <v>68</v>
      </c>
      <c r="E46" s="11">
        <v>0</v>
      </c>
      <c r="F46" s="11"/>
      <c r="G46" s="11"/>
      <c r="H46" s="9">
        <f>E46*C46</f>
        <v>0</v>
      </c>
      <c r="I46" s="237"/>
      <c r="J46" s="237"/>
      <c r="K46" s="237"/>
      <c r="L46" s="237"/>
      <c r="M46" s="237"/>
      <c r="N46" s="237"/>
      <c r="O46" s="237"/>
      <c r="P46" s="237"/>
      <c r="Q46" s="237"/>
      <c r="R46" s="237"/>
      <c r="S46" s="237"/>
    </row>
    <row r="47" spans="1:19" x14ac:dyDescent="0.25">
      <c r="A47" s="73" t="s">
        <v>54</v>
      </c>
      <c r="B47" s="74"/>
      <c r="C47" s="75"/>
      <c r="D47" s="75"/>
      <c r="E47" s="75"/>
      <c r="F47" s="75"/>
      <c r="G47" s="75"/>
      <c r="H47" s="76">
        <f>SUM(H16:H46)</f>
        <v>6347.4101600000013</v>
      </c>
      <c r="I47" s="237"/>
      <c r="J47" s="237"/>
      <c r="K47" s="237"/>
      <c r="L47" s="237"/>
      <c r="M47" s="237"/>
      <c r="N47" s="237"/>
      <c r="O47" s="237"/>
      <c r="P47" s="237"/>
      <c r="Q47" s="237"/>
      <c r="R47" s="237"/>
      <c r="S47" s="237"/>
    </row>
    <row r="48" spans="1:19" x14ac:dyDescent="0.25">
      <c r="A48" s="356"/>
      <c r="B48" s="338"/>
      <c r="C48" s="338"/>
      <c r="D48" s="338"/>
      <c r="E48" s="338"/>
      <c r="F48" s="338"/>
      <c r="G48" s="338"/>
      <c r="H48" s="339"/>
      <c r="I48" s="237"/>
      <c r="J48" s="237"/>
      <c r="K48" s="237"/>
      <c r="L48" s="237"/>
      <c r="M48" s="237"/>
      <c r="N48" s="237"/>
      <c r="O48" s="237"/>
      <c r="P48" s="237"/>
      <c r="Q48" s="237"/>
      <c r="R48" s="237"/>
      <c r="S48" s="237"/>
    </row>
    <row r="49" spans="1:19" x14ac:dyDescent="0.25">
      <c r="A49" s="70" t="s">
        <v>55</v>
      </c>
      <c r="B49" s="71"/>
      <c r="C49" s="65"/>
      <c r="D49" s="71"/>
      <c r="E49" s="71"/>
      <c r="F49" s="71"/>
      <c r="G49" s="71"/>
      <c r="H49" s="72">
        <f>H13-H47</f>
        <v>1101.3498399999989</v>
      </c>
      <c r="I49" s="237"/>
      <c r="J49" s="237"/>
      <c r="K49" s="237"/>
      <c r="L49" s="237"/>
      <c r="M49" s="237"/>
      <c r="N49" s="237"/>
      <c r="O49" s="237"/>
      <c r="P49" s="237"/>
      <c r="Q49" s="237"/>
      <c r="R49" s="237"/>
      <c r="S49" s="237"/>
    </row>
    <row r="50" spans="1:19" x14ac:dyDescent="0.25">
      <c r="A50" s="357"/>
      <c r="B50" s="338"/>
      <c r="C50" s="338"/>
      <c r="D50" s="338"/>
      <c r="E50" s="338"/>
      <c r="F50" s="338"/>
      <c r="G50" s="338"/>
      <c r="H50" s="339"/>
      <c r="I50" s="237"/>
      <c r="J50" s="237"/>
      <c r="K50" s="237"/>
      <c r="L50" s="237"/>
      <c r="M50" s="237"/>
      <c r="N50" s="237"/>
      <c r="O50" s="237"/>
      <c r="P50" s="237"/>
      <c r="Q50" s="237"/>
      <c r="R50" s="237"/>
      <c r="S50" s="237"/>
    </row>
    <row r="51" spans="1:19" x14ac:dyDescent="0.25">
      <c r="A51" s="358" t="s">
        <v>96</v>
      </c>
      <c r="B51" s="338"/>
      <c r="C51" s="146" t="s">
        <v>135</v>
      </c>
      <c r="D51" s="146" t="s">
        <v>18</v>
      </c>
      <c r="E51" s="146" t="s">
        <v>19</v>
      </c>
      <c r="F51" s="144"/>
      <c r="G51" s="144"/>
      <c r="H51" s="145"/>
      <c r="I51" s="237"/>
      <c r="J51" s="237"/>
      <c r="K51" s="237"/>
      <c r="L51" s="237"/>
      <c r="M51" s="237"/>
      <c r="N51" s="237"/>
      <c r="O51" s="237"/>
      <c r="P51" s="237"/>
      <c r="Q51" s="237"/>
      <c r="R51" s="237"/>
      <c r="S51" s="237"/>
    </row>
    <row r="52" spans="1:19" x14ac:dyDescent="0.25">
      <c r="A52" s="152"/>
      <c r="B52" s="153" t="s">
        <v>153</v>
      </c>
      <c r="C52" s="177">
        <v>1</v>
      </c>
      <c r="D52" s="154" t="s">
        <v>25</v>
      </c>
      <c r="E52" s="155">
        <v>25.6</v>
      </c>
      <c r="F52" s="152"/>
      <c r="G52" s="156"/>
      <c r="H52" s="157">
        <f>E52*C52</f>
        <v>25.6</v>
      </c>
      <c r="I52" s="237"/>
      <c r="J52" s="237"/>
      <c r="K52" s="237"/>
      <c r="L52" s="237"/>
      <c r="M52" s="237"/>
      <c r="N52" s="237"/>
      <c r="O52" s="237"/>
      <c r="P52" s="237"/>
      <c r="Q52" s="237"/>
      <c r="R52" s="237"/>
      <c r="S52" s="237"/>
    </row>
    <row r="53" spans="1:19" x14ac:dyDescent="0.25">
      <c r="A53" s="152"/>
      <c r="B53" s="153" t="s">
        <v>57</v>
      </c>
      <c r="C53" s="177">
        <v>1</v>
      </c>
      <c r="D53" s="154" t="s">
        <v>25</v>
      </c>
      <c r="E53" s="155">
        <v>21.43</v>
      </c>
      <c r="F53" s="152"/>
      <c r="G53" s="156"/>
      <c r="H53" s="157">
        <f t="shared" ref="H53:H62" si="25">E53*C53</f>
        <v>21.43</v>
      </c>
      <c r="I53" s="237"/>
      <c r="J53" s="237"/>
      <c r="K53" s="237"/>
      <c r="L53" s="237"/>
      <c r="M53" s="237"/>
      <c r="N53" s="237"/>
      <c r="O53" s="237"/>
      <c r="P53" s="237"/>
      <c r="Q53" s="237"/>
      <c r="R53" s="237"/>
      <c r="S53" s="237"/>
    </row>
    <row r="54" spans="1:19" x14ac:dyDescent="0.25">
      <c r="A54" s="152"/>
      <c r="B54" s="153" t="s">
        <v>136</v>
      </c>
      <c r="C54" s="177">
        <v>1</v>
      </c>
      <c r="D54" s="154" t="s">
        <v>25</v>
      </c>
      <c r="E54" s="155">
        <v>1.5</v>
      </c>
      <c r="F54" s="152"/>
      <c r="G54" s="156"/>
      <c r="H54" s="157">
        <f t="shared" si="25"/>
        <v>1.5</v>
      </c>
      <c r="I54" s="237"/>
      <c r="J54" s="237"/>
      <c r="K54" s="237"/>
      <c r="L54" s="237"/>
      <c r="M54" s="237"/>
      <c r="N54" s="237"/>
      <c r="O54" s="237"/>
      <c r="P54" s="237"/>
      <c r="Q54" s="237"/>
      <c r="R54" s="237"/>
      <c r="S54" s="237"/>
    </row>
    <row r="55" spans="1:19" x14ac:dyDescent="0.25">
      <c r="A55" s="152"/>
      <c r="B55" s="153" t="s">
        <v>137</v>
      </c>
      <c r="C55" s="177">
        <v>1</v>
      </c>
      <c r="D55" s="154" t="s">
        <v>25</v>
      </c>
      <c r="E55" s="155">
        <v>1.8</v>
      </c>
      <c r="F55" s="152"/>
      <c r="G55" s="156"/>
      <c r="H55" s="157">
        <f t="shared" si="25"/>
        <v>1.8</v>
      </c>
      <c r="I55" s="237"/>
      <c r="J55" s="237"/>
      <c r="K55" s="237"/>
      <c r="L55" s="237"/>
      <c r="M55" s="237"/>
      <c r="N55" s="237"/>
      <c r="O55" s="237"/>
      <c r="P55" s="237"/>
      <c r="Q55" s="237"/>
      <c r="R55" s="237"/>
      <c r="S55" s="237"/>
    </row>
    <row r="56" spans="1:19" x14ac:dyDescent="0.25">
      <c r="A56" s="152"/>
      <c r="B56" s="153" t="s">
        <v>138</v>
      </c>
      <c r="C56" s="177">
        <v>1</v>
      </c>
      <c r="D56" s="154" t="s">
        <v>25</v>
      </c>
      <c r="E56" s="155">
        <v>4.41</v>
      </c>
      <c r="F56" s="152"/>
      <c r="G56" s="156"/>
      <c r="H56" s="157">
        <f t="shared" si="25"/>
        <v>4.41</v>
      </c>
      <c r="I56" s="237"/>
      <c r="J56" s="237"/>
      <c r="K56" s="237"/>
      <c r="L56" s="237"/>
      <c r="M56" s="237"/>
      <c r="N56" s="237"/>
      <c r="O56" s="237"/>
      <c r="P56" s="237"/>
      <c r="Q56" s="237"/>
      <c r="R56" s="237"/>
      <c r="S56" s="237"/>
    </row>
    <row r="57" spans="1:19" x14ac:dyDescent="0.25">
      <c r="A57" s="152"/>
      <c r="B57" s="153" t="s">
        <v>154</v>
      </c>
      <c r="C57" s="177">
        <v>1</v>
      </c>
      <c r="D57" s="154" t="s">
        <v>25</v>
      </c>
      <c r="E57" s="155">
        <f>7.8+2.67</f>
        <v>10.469999999999999</v>
      </c>
      <c r="F57" s="152"/>
      <c r="G57" s="156"/>
      <c r="H57" s="157">
        <f t="shared" si="25"/>
        <v>10.469999999999999</v>
      </c>
      <c r="I57" s="237"/>
      <c r="J57" s="237"/>
      <c r="K57" s="237"/>
      <c r="L57" s="237"/>
      <c r="M57" s="237"/>
      <c r="N57" s="237"/>
      <c r="O57" s="237"/>
      <c r="P57" s="237"/>
      <c r="Q57" s="237"/>
      <c r="R57" s="237"/>
      <c r="S57" s="237"/>
    </row>
    <row r="58" spans="1:19" x14ac:dyDescent="0.25">
      <c r="A58" s="152"/>
      <c r="B58" s="153" t="s">
        <v>64</v>
      </c>
      <c r="C58" s="177">
        <v>1</v>
      </c>
      <c r="D58" s="154" t="s">
        <v>25</v>
      </c>
      <c r="E58" s="155">
        <v>1</v>
      </c>
      <c r="F58" s="152"/>
      <c r="G58" s="156"/>
      <c r="H58" s="157">
        <f t="shared" si="25"/>
        <v>1</v>
      </c>
      <c r="I58" s="237"/>
      <c r="J58" s="237"/>
      <c r="K58" s="237"/>
      <c r="L58" s="237"/>
      <c r="M58" s="237"/>
      <c r="N58" s="237"/>
      <c r="O58" s="237"/>
      <c r="P58" s="237"/>
      <c r="Q58" s="237"/>
      <c r="R58" s="237"/>
      <c r="S58" s="237"/>
    </row>
    <row r="59" spans="1:19" x14ac:dyDescent="0.25">
      <c r="A59" s="158"/>
      <c r="B59" s="154" t="s">
        <v>65</v>
      </c>
      <c r="C59" s="177">
        <v>1</v>
      </c>
      <c r="D59" s="154" t="s">
        <v>25</v>
      </c>
      <c r="E59" s="155">
        <v>5</v>
      </c>
      <c r="F59" s="158"/>
      <c r="G59" s="159"/>
      <c r="H59" s="157">
        <f t="shared" si="25"/>
        <v>5</v>
      </c>
      <c r="I59" s="237"/>
      <c r="J59" s="237"/>
      <c r="K59" s="237"/>
      <c r="L59" s="237"/>
      <c r="M59" s="237"/>
      <c r="N59" s="237"/>
      <c r="O59" s="237"/>
      <c r="P59" s="237"/>
      <c r="Q59" s="237"/>
      <c r="R59" s="237"/>
      <c r="S59" s="237"/>
    </row>
    <row r="60" spans="1:19" x14ac:dyDescent="0.25">
      <c r="A60" s="158"/>
      <c r="B60" s="154" t="s">
        <v>66</v>
      </c>
      <c r="C60" s="177">
        <v>1</v>
      </c>
      <c r="D60" s="154" t="s">
        <v>25</v>
      </c>
      <c r="E60" s="155">
        <v>0</v>
      </c>
      <c r="F60" s="158"/>
      <c r="G60" s="159"/>
      <c r="H60" s="157">
        <f t="shared" si="25"/>
        <v>0</v>
      </c>
      <c r="I60" s="237"/>
      <c r="J60" s="237"/>
      <c r="K60" s="237"/>
      <c r="L60" s="237"/>
      <c r="M60" s="237"/>
      <c r="N60" s="237"/>
      <c r="O60" s="237"/>
      <c r="P60" s="237"/>
      <c r="Q60" s="237"/>
      <c r="R60" s="237"/>
      <c r="S60" s="237"/>
    </row>
    <row r="61" spans="1:19" x14ac:dyDescent="0.25">
      <c r="A61" s="138"/>
      <c r="B61" s="147" t="s">
        <v>67</v>
      </c>
      <c r="C61" s="177">
        <v>0</v>
      </c>
      <c r="D61" s="147" t="s">
        <v>68</v>
      </c>
      <c r="E61" s="167">
        <v>0</v>
      </c>
      <c r="F61" s="138"/>
      <c r="G61" s="138"/>
      <c r="H61" s="157">
        <f t="shared" si="25"/>
        <v>0</v>
      </c>
      <c r="I61" s="237"/>
      <c r="J61" s="237"/>
      <c r="K61" s="237"/>
      <c r="L61" s="237"/>
      <c r="M61" s="237"/>
      <c r="N61" s="237"/>
      <c r="O61" s="237"/>
      <c r="P61" s="237"/>
      <c r="Q61" s="237"/>
      <c r="R61" s="237"/>
      <c r="S61" s="237"/>
    </row>
    <row r="62" spans="1:19" x14ac:dyDescent="0.25">
      <c r="A62" s="136"/>
      <c r="B62" s="147" t="s">
        <v>155</v>
      </c>
      <c r="C62" s="177">
        <v>1</v>
      </c>
      <c r="D62" s="147" t="s">
        <v>25</v>
      </c>
      <c r="E62" s="167">
        <v>0</v>
      </c>
      <c r="F62" s="138"/>
      <c r="G62" s="139"/>
      <c r="H62" s="157">
        <f t="shared" si="25"/>
        <v>0</v>
      </c>
      <c r="I62" s="237"/>
      <c r="J62" s="237"/>
      <c r="K62" s="237"/>
      <c r="L62" s="237"/>
      <c r="M62" s="237"/>
      <c r="N62" s="237"/>
      <c r="O62" s="237"/>
      <c r="P62" s="237"/>
      <c r="Q62" s="237"/>
      <c r="R62" s="237"/>
      <c r="S62" s="237"/>
    </row>
    <row r="63" spans="1:19" x14ac:dyDescent="0.25">
      <c r="A63" s="346" t="s">
        <v>71</v>
      </c>
      <c r="B63" s="347"/>
      <c r="C63" s="347"/>
      <c r="D63" s="347"/>
      <c r="E63" s="347"/>
      <c r="F63" s="347"/>
      <c r="G63" s="347"/>
      <c r="H63" s="89">
        <f>SUM(H52:H62)</f>
        <v>71.209999999999994</v>
      </c>
      <c r="I63" s="237"/>
      <c r="J63" s="237"/>
      <c r="K63" s="237"/>
      <c r="L63" s="237"/>
      <c r="M63" s="237"/>
      <c r="N63" s="237"/>
      <c r="O63" s="237"/>
      <c r="P63" s="237"/>
      <c r="Q63" s="237"/>
      <c r="R63" s="237"/>
      <c r="S63" s="237"/>
    </row>
    <row r="64" spans="1:19" x14ac:dyDescent="0.25">
      <c r="A64" s="276"/>
      <c r="B64" s="273"/>
      <c r="C64" s="273"/>
      <c r="D64" s="273"/>
      <c r="E64" s="273"/>
      <c r="F64" s="273"/>
      <c r="G64" s="273"/>
      <c r="H64" s="272"/>
      <c r="I64" s="237"/>
      <c r="J64" s="237"/>
      <c r="K64" s="237"/>
      <c r="L64" s="237"/>
      <c r="M64" s="237"/>
      <c r="N64" s="237"/>
      <c r="O64" s="237"/>
      <c r="P64" s="237"/>
      <c r="Q64" s="237"/>
      <c r="R64" s="237"/>
      <c r="S64" s="237"/>
    </row>
    <row r="65" spans="1:8" x14ac:dyDescent="0.25">
      <c r="A65" s="358" t="s">
        <v>72</v>
      </c>
      <c r="B65" s="338"/>
      <c r="C65" s="338"/>
      <c r="D65" s="338"/>
      <c r="E65" s="338"/>
      <c r="F65" s="338"/>
      <c r="G65" s="339"/>
      <c r="H65" s="78">
        <f>H13-H47-H63</f>
        <v>1030.1398399999989</v>
      </c>
    </row>
    <row r="66" spans="1:8" x14ac:dyDescent="0.25">
      <c r="A66" s="353"/>
      <c r="B66" s="338"/>
      <c r="C66" s="338"/>
      <c r="D66" s="338"/>
      <c r="E66" s="338"/>
      <c r="F66" s="338"/>
      <c r="G66" s="338"/>
      <c r="H66" s="339"/>
    </row>
    <row r="67" spans="1:8" x14ac:dyDescent="0.25">
      <c r="A67" s="237"/>
      <c r="B67" s="237"/>
      <c r="C67" s="237"/>
      <c r="D67" s="237"/>
      <c r="E67" s="237"/>
      <c r="F67" s="237"/>
      <c r="G67" s="237"/>
      <c r="H67" s="237"/>
    </row>
    <row r="68" spans="1:8" x14ac:dyDescent="0.25">
      <c r="A68" s="237"/>
      <c r="B68" s="237"/>
      <c r="C68" s="237"/>
      <c r="D68" s="237"/>
      <c r="E68" s="237"/>
      <c r="F68" s="237"/>
      <c r="G68" s="237"/>
      <c r="H68" s="237"/>
    </row>
    <row r="69" spans="1:8" x14ac:dyDescent="0.25">
      <c r="A69" s="237"/>
      <c r="B69" s="237"/>
      <c r="C69" s="237"/>
      <c r="D69" s="237"/>
      <c r="E69" s="237"/>
      <c r="F69" s="237"/>
      <c r="G69" s="237"/>
      <c r="H69" s="237"/>
    </row>
    <row r="70" spans="1:8" x14ac:dyDescent="0.25">
      <c r="A70" s="237"/>
      <c r="B70" s="237"/>
      <c r="C70" s="237"/>
      <c r="D70" s="237"/>
      <c r="E70" s="237"/>
      <c r="F70" s="237"/>
      <c r="G70" s="237"/>
      <c r="H70" s="237"/>
    </row>
    <row r="71" spans="1:8" x14ac:dyDescent="0.25">
      <c r="A71" s="237"/>
      <c r="B71" s="237"/>
      <c r="C71" s="237"/>
      <c r="D71" s="237"/>
      <c r="E71" s="237"/>
      <c r="F71" s="237"/>
      <c r="G71" s="237"/>
      <c r="H71" s="237"/>
    </row>
    <row r="72" spans="1:8" x14ac:dyDescent="0.25">
      <c r="A72" s="237"/>
      <c r="B72" s="237"/>
      <c r="C72" s="237"/>
      <c r="D72" s="237"/>
      <c r="E72" s="237"/>
      <c r="F72" s="237"/>
      <c r="G72" s="237"/>
      <c r="H72" s="237"/>
    </row>
    <row r="73" spans="1:8" x14ac:dyDescent="0.25">
      <c r="A73" s="237"/>
      <c r="B73" s="237"/>
      <c r="C73" s="237"/>
      <c r="D73" s="237"/>
      <c r="E73" s="237"/>
      <c r="F73" s="237"/>
      <c r="G73" s="237"/>
      <c r="H73" s="237"/>
    </row>
    <row r="74" spans="1:8" x14ac:dyDescent="0.25">
      <c r="A74" s="237"/>
      <c r="B74" s="237"/>
      <c r="C74" s="237"/>
      <c r="D74" s="237"/>
      <c r="E74" s="237"/>
      <c r="F74" s="237"/>
      <c r="G74" s="237"/>
      <c r="H74" s="245"/>
    </row>
    <row r="75" spans="1:8" x14ac:dyDescent="0.25">
      <c r="A75" s="237"/>
      <c r="B75" s="237"/>
      <c r="C75" s="237"/>
      <c r="D75" s="237"/>
      <c r="E75" s="237"/>
      <c r="F75" s="237"/>
      <c r="G75" s="237"/>
      <c r="H75" s="245"/>
    </row>
    <row r="77" spans="1:8" x14ac:dyDescent="0.25">
      <c r="A77" s="237"/>
      <c r="B77" s="237"/>
      <c r="C77" s="237"/>
      <c r="D77" s="237"/>
      <c r="E77" s="237"/>
      <c r="F77" s="237"/>
      <c r="G77" s="237"/>
      <c r="H77" s="237"/>
    </row>
  </sheetData>
  <mergeCells count="15">
    <mergeCell ref="A66:H66"/>
    <mergeCell ref="A63:G63"/>
    <mergeCell ref="K2:S3"/>
    <mergeCell ref="A1:H1"/>
    <mergeCell ref="C4:H4"/>
    <mergeCell ref="C15:H15"/>
    <mergeCell ref="A48:H48"/>
    <mergeCell ref="A50:H50"/>
    <mergeCell ref="A51:B51"/>
    <mergeCell ref="A65:G65"/>
    <mergeCell ref="J15:J36"/>
    <mergeCell ref="D5:H6"/>
    <mergeCell ref="F7:H10"/>
    <mergeCell ref="D9:E10"/>
    <mergeCell ref="J4:J10"/>
  </mergeCells>
  <dataValidations count="1">
    <dataValidation type="list" allowBlank="1" showInputMessage="1" showErrorMessage="1" sqref="E8">
      <formula1>$G$68:$G$75</formula1>
    </dataValidation>
  </dataValidations>
  <pageMargins left="0.7" right="0.7" top="0.75" bottom="0.75" header="0.3" footer="0.3"/>
  <pageSetup scale="8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Spacing!$B$2:$B$38</xm:f>
          </x14:formula1>
          <xm:sqref>C7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8"/>
  <sheetViews>
    <sheetView workbookViewId="0">
      <selection activeCell="C7" sqref="C7"/>
    </sheetView>
  </sheetViews>
  <sheetFormatPr defaultRowHeight="15" x14ac:dyDescent="0.25"/>
  <cols>
    <col min="1" max="1" width="18.85546875" customWidth="1"/>
    <col min="2" max="2" width="13.85546875" customWidth="1"/>
  </cols>
  <sheetData>
    <row r="1" spans="1:2" x14ac:dyDescent="0.25">
      <c r="B1" t="s">
        <v>156</v>
      </c>
    </row>
    <row r="2" spans="1:2" x14ac:dyDescent="0.25">
      <c r="A2" t="s">
        <v>157</v>
      </c>
    </row>
    <row r="3" spans="1:2" x14ac:dyDescent="0.25">
      <c r="B3" t="s">
        <v>158</v>
      </c>
    </row>
    <row r="4" spans="1:2" x14ac:dyDescent="0.25">
      <c r="B4" t="s">
        <v>159</v>
      </c>
    </row>
    <row r="5" spans="1:2" x14ac:dyDescent="0.25">
      <c r="B5" t="s">
        <v>160</v>
      </c>
    </row>
    <row r="6" spans="1:2" x14ac:dyDescent="0.25">
      <c r="B6" t="s">
        <v>161</v>
      </c>
    </row>
    <row r="7" spans="1:2" x14ac:dyDescent="0.25">
      <c r="B7" t="s">
        <v>162</v>
      </c>
    </row>
    <row r="8" spans="1:2" x14ac:dyDescent="0.25">
      <c r="B8" t="s">
        <v>163</v>
      </c>
    </row>
    <row r="9" spans="1:2" x14ac:dyDescent="0.25">
      <c r="B9" t="s">
        <v>164</v>
      </c>
    </row>
    <row r="10" spans="1:2" x14ac:dyDescent="0.25">
      <c r="B10" t="s">
        <v>165</v>
      </c>
    </row>
    <row r="11" spans="1:2" x14ac:dyDescent="0.25">
      <c r="B11" t="s">
        <v>166</v>
      </c>
    </row>
    <row r="12" spans="1:2" x14ac:dyDescent="0.25">
      <c r="B12" t="s">
        <v>167</v>
      </c>
    </row>
    <row r="13" spans="1:2" x14ac:dyDescent="0.25">
      <c r="B13" t="s">
        <v>168</v>
      </c>
    </row>
    <row r="14" spans="1:2" x14ac:dyDescent="0.25">
      <c r="B14" t="s">
        <v>169</v>
      </c>
    </row>
    <row r="15" spans="1:2" x14ac:dyDescent="0.25">
      <c r="B15" t="s">
        <v>170</v>
      </c>
    </row>
    <row r="16" spans="1:2" x14ac:dyDescent="0.25">
      <c r="B16" t="s">
        <v>171</v>
      </c>
    </row>
    <row r="17" spans="2:2" x14ac:dyDescent="0.25">
      <c r="B17" t="s">
        <v>172</v>
      </c>
    </row>
    <row r="18" spans="2:2" x14ac:dyDescent="0.25">
      <c r="B18" t="s">
        <v>173</v>
      </c>
    </row>
    <row r="19" spans="2:2" x14ac:dyDescent="0.25">
      <c r="B19" t="s">
        <v>174</v>
      </c>
    </row>
    <row r="20" spans="2:2" x14ac:dyDescent="0.25">
      <c r="B20" t="s">
        <v>175</v>
      </c>
    </row>
    <row r="21" spans="2:2" x14ac:dyDescent="0.25">
      <c r="B21" t="s">
        <v>176</v>
      </c>
    </row>
    <row r="22" spans="2:2" x14ac:dyDescent="0.25">
      <c r="B22" t="s">
        <v>177</v>
      </c>
    </row>
    <row r="23" spans="2:2" x14ac:dyDescent="0.25">
      <c r="B23" t="s">
        <v>178</v>
      </c>
    </row>
    <row r="24" spans="2:2" x14ac:dyDescent="0.25">
      <c r="B24" t="s">
        <v>113</v>
      </c>
    </row>
    <row r="25" spans="2:2" x14ac:dyDescent="0.25">
      <c r="B25" t="s">
        <v>179</v>
      </c>
    </row>
    <row r="26" spans="2:2" x14ac:dyDescent="0.25">
      <c r="B26" t="s">
        <v>180</v>
      </c>
    </row>
    <row r="27" spans="2:2" x14ac:dyDescent="0.25">
      <c r="B27" t="s">
        <v>181</v>
      </c>
    </row>
    <row r="28" spans="2:2" x14ac:dyDescent="0.25">
      <c r="B28" t="s">
        <v>182</v>
      </c>
    </row>
    <row r="29" spans="2:2" x14ac:dyDescent="0.25">
      <c r="B29" t="s">
        <v>183</v>
      </c>
    </row>
    <row r="30" spans="2:2" x14ac:dyDescent="0.25">
      <c r="B30" t="s">
        <v>184</v>
      </c>
    </row>
    <row r="31" spans="2:2" x14ac:dyDescent="0.25">
      <c r="B31" t="s">
        <v>142</v>
      </c>
    </row>
    <row r="32" spans="2:2" x14ac:dyDescent="0.25">
      <c r="B32" t="s">
        <v>185</v>
      </c>
    </row>
    <row r="33" spans="2:2" x14ac:dyDescent="0.25">
      <c r="B33" t="s">
        <v>186</v>
      </c>
    </row>
    <row r="34" spans="2:2" x14ac:dyDescent="0.25">
      <c r="B34" t="s">
        <v>187</v>
      </c>
    </row>
    <row r="35" spans="2:2" x14ac:dyDescent="0.25">
      <c r="B35" t="s">
        <v>188</v>
      </c>
    </row>
    <row r="36" spans="2:2" x14ac:dyDescent="0.25">
      <c r="B36" t="s">
        <v>189</v>
      </c>
    </row>
    <row r="37" spans="2:2" x14ac:dyDescent="0.25">
      <c r="B37" t="s">
        <v>190</v>
      </c>
    </row>
    <row r="38" spans="2:2" x14ac:dyDescent="0.25">
      <c r="B38" t="s">
        <v>191</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9796156892444A80ACBCA98B358D75" ma:contentTypeVersion="6" ma:contentTypeDescription="Create a new document." ma:contentTypeScope="" ma:versionID="bdfe9a0bb9ce1512c18f9a8bd79d3345">
  <xsd:schema xmlns:xsd="http://www.w3.org/2001/XMLSchema" xmlns:xs="http://www.w3.org/2001/XMLSchema" xmlns:p="http://schemas.microsoft.com/office/2006/metadata/properties" xmlns:ns2="8444d0c6-3393-4c6c-a05c-947ed039c375" xmlns:ns3="757a8244-de6c-428f-a683-65f84897f786" targetNamespace="http://schemas.microsoft.com/office/2006/metadata/properties" ma:root="true" ma:fieldsID="c7227472b1e2880b7820844dc05240d1" ns2:_="" ns3:_="">
    <xsd:import namespace="8444d0c6-3393-4c6c-a05c-947ed039c375"/>
    <xsd:import namespace="757a8244-de6c-428f-a683-65f84897f7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d0c6-3393-4c6c-a05c-947ed039c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7a8244-de6c-428f-a683-65f84897f7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CA94E7-CB84-43C6-ABC6-6C29C1477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d0c6-3393-4c6c-a05c-947ed039c375"/>
    <ds:schemaRef ds:uri="757a8244-de6c-428f-a683-65f84897f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9A7B1B-2B3A-47AE-9396-E9D243E06FE9}">
  <ds:schemaRefs>
    <ds:schemaRef ds:uri="http://www.w3.org/XML/1998/namespace"/>
    <ds:schemaRef ds:uri="http://purl.org/dc/elements/1.1/"/>
    <ds:schemaRef ds:uri="8444d0c6-3393-4c6c-a05c-947ed039c375"/>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57a8244-de6c-428f-a683-65f84897f786"/>
  </ds:schemaRefs>
</ds:datastoreItem>
</file>

<file path=customXml/itemProps3.xml><?xml version="1.0" encoding="utf-8"?>
<ds:datastoreItem xmlns:ds="http://schemas.openxmlformats.org/officeDocument/2006/customXml" ds:itemID="{A03CEC24-8322-483C-A8CD-2103475969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Hemp Grain</vt:lpstr>
      <vt:lpstr>Hemp Fiber</vt:lpstr>
      <vt:lpstr>CBD Row Crop Grain Harvested</vt:lpstr>
      <vt:lpstr>CBD Row Crop NO Grain</vt:lpstr>
      <vt:lpstr>CBD Tobacco Model</vt:lpstr>
      <vt:lpstr>CBD Plasticulture Model</vt:lpstr>
      <vt:lpstr>Spacing</vt:lpstr>
    </vt:vector>
  </TitlesOfParts>
  <Manager/>
  <Company>UK Agricultural Economics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dc:creator>
  <cp:keywords/>
  <dc:description/>
  <cp:lastModifiedBy>Tyler</cp:lastModifiedBy>
  <cp:revision/>
  <dcterms:created xsi:type="dcterms:W3CDTF">2018-10-23T20:40:41Z</dcterms:created>
  <dcterms:modified xsi:type="dcterms:W3CDTF">2021-02-21T03:39:03Z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0x010100139796156892444A80ACBCA98B358D75</vt:lpwstr>
  </property>
</Properties>
</file>